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s://sorg-my.sharepoint.com/personal/nka_hoornbeeck_nl/Documents/1 a. Tijdelijk/KZ/Onderwijstijd/SOP/SOP 2019-2020/Dienstverlening/"/>
    </mc:Choice>
  </mc:AlternateContent>
  <workbookProtection workbookAlgorithmName="SHA-512" workbookHashValue="zaK7LiWTQqarp7APb7zRbTXqg8T9u5woLPNDhMj7h2xuldAiWC+jhKPNS0IwKu9+R9WGZ9F3WsSuq1HVlUouNA==" workbookSaltValue="R5LswcqCCNCGO+MogJX71Q==" workbookSpinCount="100000" lockStructure="1"/>
  <bookViews>
    <workbookView xWindow="0" yWindow="0" windowWidth="19368" windowHeight="9192"/>
  </bookViews>
  <sheets>
    <sheet name="Programmering" sheetId="1" r:id="rId1"/>
    <sheet name="OER" sheetId="7" r:id="rId2"/>
    <sheet name="Rekenhulp" sheetId="10" r:id="rId3"/>
    <sheet name="Parameters" sheetId="2" state="hidden" r:id="rId4"/>
    <sheet name="Opleidingen" sheetId="8" state="hidden" r:id="rId5"/>
    <sheet name="Afwijkende normen" sheetId="11" state="hidden" r:id="rId6"/>
    <sheet name="Toelichting" sheetId="6" state="hidden" r:id="rId7"/>
    <sheet name="Administratie" sheetId="5" state="hidden" r:id="rId8"/>
  </sheets>
  <definedNames>
    <definedName name="BBL">Parameters!$A$4:$A$27</definedName>
    <definedName name="BOL">Parameters!$A$9:$A$27</definedName>
    <definedName name="Bouwkunde">Opleidingen!$A$68:$A$82</definedName>
    <definedName name="cohorten">Parameters!$A$74:$A$77</definedName>
    <definedName name="Dienstverlening">Opleidingen!$A$2:$A$11</definedName>
    <definedName name="Economie">Opleidingen!$A$14:$A$42</definedName>
    <definedName name="Electrotechniek">Opleidingen!$A$85:$A$98</definedName>
    <definedName name="Gezondheidszorg">Opleidingen!$A$45:$A$53</definedName>
    <definedName name="ICT">Opleidingen!$A$101:$A$112</definedName>
    <definedName name="Mobiliteit">Opleidingen!$A$57:$A$65</definedName>
    <definedName name="Techniek">Opleidingen!$A$66:$A$135</definedName>
    <definedName name="VRIJ">Parameters!$A$4:$A$27</definedName>
    <definedName name="Welzijn">Opleidingen!$A$138:$A$159</definedName>
    <definedName name="Werktuigbouwkunde">Opleidingen!$A$115:$A$135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1" l="1"/>
  <c r="N12" i="1" l="1"/>
  <c r="N6" i="1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28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F24" i="11"/>
  <c r="P20" i="1"/>
  <c r="B10" i="2"/>
  <c r="E10" i="2"/>
  <c r="K10" i="2"/>
  <c r="O20" i="1"/>
  <c r="N20" i="1"/>
  <c r="G20" i="1" s="1"/>
  <c r="I20" i="1" s="1"/>
  <c r="P18" i="1"/>
  <c r="N18" i="1" s="1"/>
  <c r="G18" i="1" s="1"/>
  <c r="P21" i="1"/>
  <c r="N21" i="1" s="1"/>
  <c r="N26" i="1" s="1"/>
  <c r="P19" i="1"/>
  <c r="N19" i="1"/>
  <c r="G19" i="1" s="1"/>
  <c r="P17" i="1"/>
  <c r="O17" i="1" s="1"/>
  <c r="N17" i="1" s="1"/>
  <c r="G17" i="1" s="1"/>
  <c r="F19" i="11"/>
  <c r="F17" i="11"/>
  <c r="F18" i="11"/>
  <c r="F20" i="11"/>
  <c r="F21" i="11"/>
  <c r="F22" i="11"/>
  <c r="F16" i="11"/>
  <c r="F29" i="11"/>
  <c r="F15" i="11"/>
  <c r="F14" i="11"/>
  <c r="F13" i="11"/>
  <c r="F11" i="11"/>
  <c r="F9" i="11"/>
  <c r="F7" i="11"/>
  <c r="F6" i="11"/>
  <c r="F5" i="11"/>
  <c r="F4" i="11"/>
  <c r="N9" i="1"/>
  <c r="H11" i="2"/>
  <c r="E3" i="5"/>
  <c r="F4" i="7"/>
  <c r="N5" i="1"/>
  <c r="N10" i="1"/>
  <c r="G35" i="1"/>
  <c r="B18" i="7"/>
  <c r="N25" i="1"/>
  <c r="N11" i="1"/>
  <c r="G8" i="1"/>
  <c r="G29" i="1"/>
  <c r="B25" i="1"/>
  <c r="N8" i="1"/>
  <c r="C4" i="7"/>
  <c r="N3" i="1"/>
  <c r="J29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C5" i="2"/>
  <c r="F5" i="2"/>
  <c r="L5" i="2"/>
  <c r="I6" i="2"/>
  <c r="I7" i="2"/>
  <c r="I8" i="2"/>
  <c r="I4" i="2"/>
  <c r="F6" i="2"/>
  <c r="F7" i="2"/>
  <c r="F8" i="2"/>
  <c r="F4" i="2"/>
  <c r="C4" i="2"/>
  <c r="L4" i="2"/>
  <c r="C6" i="2"/>
  <c r="C7" i="2"/>
  <c r="C8" i="2"/>
  <c r="L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L20" i="2"/>
  <c r="B16" i="2"/>
  <c r="N4" i="1"/>
  <c r="E17" i="2"/>
  <c r="E18" i="2"/>
  <c r="B18" i="2"/>
  <c r="H18" i="2"/>
  <c r="K18" i="2"/>
  <c r="E19" i="2"/>
  <c r="E20" i="2"/>
  <c r="E21" i="2"/>
  <c r="E22" i="2"/>
  <c r="B22" i="2"/>
  <c r="H22" i="2"/>
  <c r="K22" i="2"/>
  <c r="E23" i="2"/>
  <c r="E24" i="2"/>
  <c r="E25" i="2"/>
  <c r="E26" i="2"/>
  <c r="E27" i="2"/>
  <c r="E14" i="2"/>
  <c r="E15" i="2"/>
  <c r="E16" i="2"/>
  <c r="E11" i="2"/>
  <c r="E12" i="2"/>
  <c r="E13" i="2"/>
  <c r="H23" i="2"/>
  <c r="H24" i="2"/>
  <c r="H25" i="2"/>
  <c r="H26" i="2"/>
  <c r="H27" i="2"/>
  <c r="H21" i="2"/>
  <c r="H20" i="2"/>
  <c r="B20" i="2"/>
  <c r="K20" i="2"/>
  <c r="H19" i="2"/>
  <c r="H13" i="2"/>
  <c r="H14" i="2"/>
  <c r="B14" i="2"/>
  <c r="K14" i="2"/>
  <c r="H15" i="2"/>
  <c r="H16" i="2"/>
  <c r="H17" i="2"/>
  <c r="H12" i="2"/>
  <c r="F11" i="2"/>
  <c r="F12" i="2"/>
  <c r="L12" i="2"/>
  <c r="F13" i="2"/>
  <c r="F14" i="2"/>
  <c r="L14" i="2"/>
  <c r="F15" i="2"/>
  <c r="F16" i="2"/>
  <c r="L16" i="2"/>
  <c r="F17" i="2"/>
  <c r="F18" i="2"/>
  <c r="L18" i="2"/>
  <c r="F19" i="2"/>
  <c r="F21" i="2"/>
  <c r="L21" i="2"/>
  <c r="F22" i="2"/>
  <c r="L22" i="2"/>
  <c r="F23" i="2"/>
  <c r="L23" i="2"/>
  <c r="F24" i="2"/>
  <c r="L24" i="2"/>
  <c r="F25" i="2"/>
  <c r="L25" i="2"/>
  <c r="F26" i="2"/>
  <c r="L26" i="2"/>
  <c r="F27" i="2"/>
  <c r="L27" i="2"/>
  <c r="F10" i="2"/>
  <c r="L10" i="2"/>
  <c r="B11" i="2"/>
  <c r="B12" i="2"/>
  <c r="K12" i="2"/>
  <c r="B13" i="2"/>
  <c r="B15" i="2"/>
  <c r="B17" i="2"/>
  <c r="K17" i="2"/>
  <c r="B19" i="2"/>
  <c r="K19" i="2"/>
  <c r="B21" i="2"/>
  <c r="K21" i="2"/>
  <c r="B23" i="2"/>
  <c r="K23" i="2"/>
  <c r="B24" i="2"/>
  <c r="B25" i="2"/>
  <c r="K25" i="2"/>
  <c r="B26" i="2"/>
  <c r="B27" i="2"/>
  <c r="K27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F5" i="7"/>
  <c r="C5" i="7"/>
  <c r="F3" i="7"/>
  <c r="C2" i="7"/>
  <c r="C3" i="7"/>
  <c r="N7" i="1"/>
  <c r="B8" i="7"/>
  <c r="K9" i="2"/>
  <c r="A3" i="5"/>
  <c r="C3" i="5"/>
  <c r="G3" i="5"/>
  <c r="H3" i="5"/>
  <c r="I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64" i="2"/>
  <c r="B63" i="2"/>
  <c r="D61" i="2"/>
  <c r="J47" i="1"/>
  <c r="I47" i="1"/>
  <c r="E46" i="1"/>
  <c r="E45" i="1"/>
  <c r="E44" i="1"/>
  <c r="E43" i="1"/>
  <c r="J41" i="1"/>
  <c r="E24" i="7"/>
  <c r="I41" i="1"/>
  <c r="E40" i="1"/>
  <c r="E39" i="1"/>
  <c r="E38" i="1"/>
  <c r="E37" i="1"/>
  <c r="J35" i="1"/>
  <c r="AH3" i="5"/>
  <c r="I35" i="1"/>
  <c r="E34" i="1"/>
  <c r="E33" i="1"/>
  <c r="E32" i="1"/>
  <c r="E31" i="1"/>
  <c r="I29" i="1"/>
  <c r="E28" i="1"/>
  <c r="E27" i="1"/>
  <c r="E26" i="1"/>
  <c r="E25" i="1"/>
  <c r="K24" i="2"/>
  <c r="K26" i="2"/>
  <c r="G26" i="1"/>
  <c r="N38" i="1"/>
  <c r="O38" i="1"/>
  <c r="AS3" i="5"/>
  <c r="K13" i="2"/>
  <c r="L19" i="2"/>
  <c r="L15" i="2"/>
  <c r="L11" i="2"/>
  <c r="L6" i="2"/>
  <c r="L17" i="2"/>
  <c r="L13" i="2"/>
  <c r="K11" i="2"/>
  <c r="K15" i="2"/>
  <c r="K16" i="2"/>
  <c r="L7" i="2"/>
  <c r="B37" i="1"/>
  <c r="B20" i="7"/>
  <c r="N32" i="1"/>
  <c r="O32" i="1"/>
  <c r="E11" i="10"/>
  <c r="G25" i="1"/>
  <c r="H25" i="1"/>
  <c r="N27" i="1"/>
  <c r="O27" i="1"/>
  <c r="N45" i="1"/>
  <c r="O45" i="1"/>
  <c r="P45" i="1"/>
  <c r="N33" i="1"/>
  <c r="O33" i="1"/>
  <c r="P33" i="1"/>
  <c r="N39" i="1"/>
  <c r="O39" i="1"/>
  <c r="P39" i="1"/>
  <c r="N28" i="1"/>
  <c r="O28" i="1"/>
  <c r="G40" i="1"/>
  <c r="H40" i="1"/>
  <c r="K40" i="1"/>
  <c r="F23" i="7"/>
  <c r="BD3" i="5"/>
  <c r="E30" i="7"/>
  <c r="E12" i="7"/>
  <c r="B31" i="1"/>
  <c r="B14" i="7"/>
  <c r="G43" i="1"/>
  <c r="H43" i="1"/>
  <c r="AU3" i="5"/>
  <c r="G39" i="1"/>
  <c r="H39" i="1"/>
  <c r="D22" i="7"/>
  <c r="J50" i="1"/>
  <c r="E32" i="7"/>
  <c r="E18" i="7"/>
  <c r="H26" i="1"/>
  <c r="K26" i="1"/>
  <c r="F9" i="7"/>
  <c r="G33" i="1"/>
  <c r="H33" i="1"/>
  <c r="AC3" i="5"/>
  <c r="G38" i="1"/>
  <c r="H38" i="1"/>
  <c r="D21" i="7"/>
  <c r="G46" i="1"/>
  <c r="H46" i="1"/>
  <c r="K46" i="1"/>
  <c r="F29" i="7"/>
  <c r="M3" i="5"/>
  <c r="G47" i="1"/>
  <c r="B30" i="7"/>
  <c r="G37" i="1"/>
  <c r="H37" i="1"/>
  <c r="D20" i="7"/>
  <c r="G44" i="1"/>
  <c r="H44" i="1"/>
  <c r="G27" i="1"/>
  <c r="H27" i="1"/>
  <c r="R3" i="5"/>
  <c r="P27" i="1"/>
  <c r="G28" i="1"/>
  <c r="H28" i="1"/>
  <c r="D11" i="7"/>
  <c r="G31" i="1"/>
  <c r="H31" i="1"/>
  <c r="Y3" i="5"/>
  <c r="G34" i="1"/>
  <c r="H34" i="1"/>
  <c r="AE3" i="5"/>
  <c r="N44" i="1"/>
  <c r="O44" i="1"/>
  <c r="N31" i="1"/>
  <c r="N34" i="1"/>
  <c r="O34" i="1"/>
  <c r="B43" i="1"/>
  <c r="B26" i="7"/>
  <c r="G41" i="1"/>
  <c r="B24" i="7"/>
  <c r="G32" i="1"/>
  <c r="H32" i="1"/>
  <c r="G45" i="1"/>
  <c r="H45" i="1"/>
  <c r="F3" i="5"/>
  <c r="G7" i="1"/>
  <c r="G6" i="1"/>
  <c r="D3" i="5"/>
  <c r="B3" i="5"/>
  <c r="D26" i="7"/>
  <c r="K43" i="1"/>
  <c r="D8" i="7"/>
  <c r="N3" i="5"/>
  <c r="K25" i="1"/>
  <c r="F8" i="7"/>
  <c r="K39" i="1"/>
  <c r="F22" i="7"/>
  <c r="AP3" i="5"/>
  <c r="D23" i="7"/>
  <c r="AN3" i="5"/>
  <c r="D16" i="7"/>
  <c r="K37" i="1"/>
  <c r="F20" i="7"/>
  <c r="AL3" i="5"/>
  <c r="AJ3" i="5"/>
  <c r="H41" i="1"/>
  <c r="P38" i="1"/>
  <c r="K33" i="1"/>
  <c r="F16" i="7"/>
  <c r="D10" i="7"/>
  <c r="D9" i="7"/>
  <c r="P3" i="5"/>
  <c r="K27" i="1"/>
  <c r="F10" i="7"/>
  <c r="T3" i="5"/>
  <c r="H29" i="1"/>
  <c r="K28" i="1"/>
  <c r="F11" i="7"/>
  <c r="BA3" i="5"/>
  <c r="H47" i="1"/>
  <c r="P44" i="1"/>
  <c r="D29" i="7"/>
  <c r="K38" i="1"/>
  <c r="F21" i="7"/>
  <c r="N37" i="1"/>
  <c r="N40" i="1"/>
  <c r="O40" i="1"/>
  <c r="D27" i="7"/>
  <c r="AW3" i="5"/>
  <c r="K44" i="1"/>
  <c r="F27" i="7"/>
  <c r="D14" i="7"/>
  <c r="K31" i="1"/>
  <c r="F14" i="7"/>
  <c r="D17" i="7"/>
  <c r="K34" i="1"/>
  <c r="F17" i="7"/>
  <c r="F26" i="7"/>
  <c r="AY3" i="5"/>
  <c r="K45" i="1"/>
  <c r="F28" i="7"/>
  <c r="D28" i="7"/>
  <c r="AA3" i="5"/>
  <c r="D15" i="7"/>
  <c r="K32" i="1"/>
  <c r="F15" i="7"/>
  <c r="H35" i="1"/>
  <c r="AR3" i="5"/>
  <c r="D30" i="7"/>
  <c r="K41" i="1"/>
  <c r="F24" i="7"/>
  <c r="D24" i="7"/>
  <c r="BC3" i="5"/>
  <c r="N43" i="1"/>
  <c r="N46" i="1"/>
  <c r="O46" i="1"/>
  <c r="D12" i="7"/>
  <c r="V3" i="5"/>
  <c r="K29" i="1"/>
  <c r="D29" i="1"/>
  <c r="K47" i="1"/>
  <c r="F30" i="7"/>
  <c r="D18" i="7"/>
  <c r="P32" i="1"/>
  <c r="AG3" i="5"/>
  <c r="K35" i="1"/>
  <c r="I50" i="1"/>
  <c r="BE3" i="5"/>
  <c r="AT3" i="5"/>
  <c r="N41" i="1"/>
  <c r="P40" i="1"/>
  <c r="D41" i="1"/>
  <c r="P28" i="1"/>
  <c r="X3" i="5"/>
  <c r="F12" i="7"/>
  <c r="D47" i="1"/>
  <c r="P46" i="1"/>
  <c r="N47" i="1"/>
  <c r="F18" i="7"/>
  <c r="AI3" i="5"/>
  <c r="P34" i="1"/>
  <c r="D35" i="1"/>
  <c r="K50" i="1"/>
  <c r="N35" i="1"/>
  <c r="D32" i="7"/>
  <c r="F32" i="7"/>
  <c r="I19" i="1" l="1"/>
  <c r="K19" i="1" s="1"/>
  <c r="M19" i="1"/>
  <c r="L3" i="5"/>
  <c r="N29" i="1"/>
  <c r="N50" i="1" s="1"/>
  <c r="K13" i="1" s="1"/>
  <c r="P26" i="1"/>
  <c r="P29" i="1" s="1"/>
  <c r="G21" i="1"/>
  <c r="I18" i="1"/>
  <c r="M18" i="1"/>
  <c r="K3" i="5"/>
  <c r="M17" i="1"/>
  <c r="J3" i="5"/>
  <c r="I17" i="1" l="1"/>
  <c r="K17" i="1" s="1"/>
  <c r="K18" i="1"/>
  <c r="K14" i="1"/>
  <c r="K12" i="1" s="1"/>
  <c r="M21" i="1"/>
  <c r="I21" i="1"/>
  <c r="K21" i="1" s="1"/>
</calcChain>
</file>

<file path=xl/sharedStrings.xml><?xml version="1.0" encoding="utf-8"?>
<sst xmlns="http://schemas.openxmlformats.org/spreadsheetml/2006/main" count="482" uniqueCount="330">
  <si>
    <t>Sectorale onderwijsprogrammering</t>
  </si>
  <si>
    <r>
      <t xml:space="preserve">Crebo </t>
    </r>
    <r>
      <rPr>
        <b/>
        <sz val="11"/>
        <color rgb="FFFF0000"/>
        <rFont val="Calibri"/>
        <family val="2"/>
        <scheme val="minor"/>
      </rPr>
      <t>Let op: handmatig invullen, belangrijk voor juiste normen!</t>
    </r>
  </si>
  <si>
    <t>Sector:</t>
  </si>
  <si>
    <t>Sector</t>
  </si>
  <si>
    <t>Dienstverlening</t>
  </si>
  <si>
    <t xml:space="preserve">Kernteam  </t>
  </si>
  <si>
    <t>Bouwkunde</t>
  </si>
  <si>
    <t>Kernteam:</t>
  </si>
  <si>
    <t>Crebo + naam opleiding</t>
  </si>
  <si>
    <t>25171 - Zelfstandig werkend gastheer/-vrouw</t>
  </si>
  <si>
    <t>Leerweg:</t>
  </si>
  <si>
    <t>Leerweg</t>
  </si>
  <si>
    <t>BOL</t>
  </si>
  <si>
    <t>Kolom opleiding:</t>
  </si>
  <si>
    <t>Cohort</t>
  </si>
  <si>
    <t>2019/2020</t>
  </si>
  <si>
    <t>Leerjaar:</t>
  </si>
  <si>
    <t>Lengte programmering</t>
  </si>
  <si>
    <t>2 jaar</t>
  </si>
  <si>
    <t>Niveau:</t>
  </si>
  <si>
    <t>Begindatum opleiding</t>
  </si>
  <si>
    <t>(dd-mm-jjjj)</t>
  </si>
  <si>
    <t>Aantal maanden:</t>
  </si>
  <si>
    <t>Einddatum opleiding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</si>
  <si>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</si>
  <si>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</si>
  <si>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</si>
  <si>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</si>
  <si>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</si>
  <si>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</si>
  <si>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</si>
  <si>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</si>
  <si>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</si>
  <si>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</si>
  <si>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</si>
  <si>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</si>
  <si>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</si>
  <si>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</si>
  <si>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</si>
  <si>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</si>
  <si>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</si>
  <si>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</si>
  <si>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</si>
  <si>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</si>
  <si>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</si>
  <si>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</si>
  <si>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</si>
  <si>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</si>
  <si>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</si>
  <si>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</si>
  <si>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</si>
  <si>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</si>
  <si>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</si>
  <si>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</si>
  <si>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</si>
  <si>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</si>
  <si>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</si>
  <si>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</si>
  <si>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</si>
  <si>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</si>
  <si>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</si>
  <si>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</si>
  <si>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</si>
  <si>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</si>
  <si>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</si>
  <si>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</si>
  <si>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</si>
  <si>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</si>
  <si>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</si>
  <si>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</si>
  <si>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</si>
  <si>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</si>
  <si>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</si>
  <si>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</si>
  <si>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</si>
  <si>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</si>
  <si>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</si>
  <si>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</si>
  <si>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Vrij</t>
  </si>
  <si>
    <t>1e jaar</t>
  </si>
  <si>
    <t>Duur</t>
  </si>
  <si>
    <t xml:space="preserve">3e leerjaar </t>
  </si>
  <si>
    <t xml:space="preserve">BBL </t>
  </si>
  <si>
    <t>3e lw</t>
  </si>
  <si>
    <t>BBL</t>
  </si>
  <si>
    <t>Maanden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</si>
  <si>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</si>
  <si>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</si>
  <si>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</si>
  <si>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</si>
  <si>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</si>
  <si>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</si>
  <si>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</si>
  <si>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</si>
  <si>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</si>
  <si>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</si>
  <si>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</si>
  <si>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</si>
  <si>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</si>
  <si>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</si>
  <si>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</si>
  <si>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</si>
  <si>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</si>
  <si>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</si>
  <si>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</si>
  <si>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</si>
  <si>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</si>
  <si>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</si>
  <si>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</si>
  <si>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</si>
  <si>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25491c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</si>
  <si>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</si>
  <si>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</si>
  <si>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</si>
  <si>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</si>
  <si>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</si>
  <si>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</si>
  <si>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</si>
  <si>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</si>
  <si>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</si>
  <si>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</si>
  <si>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</si>
  <si>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</si>
  <si>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</si>
  <si>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</si>
  <si>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</si>
  <si>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</si>
  <si>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</si>
  <si>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Economie</t>
  </si>
  <si>
    <t>Gezondheidszorg</t>
  </si>
  <si>
    <t>Techniek &amp; ICT</t>
  </si>
  <si>
    <t>Techniek</t>
  </si>
  <si>
    <t>Welzijn</t>
  </si>
  <si>
    <t>Cohorten</t>
  </si>
  <si>
    <t>Leerjaar</t>
  </si>
  <si>
    <t>2018/2019</t>
  </si>
  <si>
    <t>2017/2018</t>
  </si>
  <si>
    <t>2016/2017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</si>
  <si>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</si>
  <si>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</si>
  <si>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</si>
  <si>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</si>
  <si>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</si>
  <si>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</si>
  <si>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Nivo</t>
  </si>
  <si>
    <t>25149 - Medewerker (financiële) administratie</t>
  </si>
  <si>
    <t>25150 - Medewerker secretariaat en receptie</t>
  </si>
  <si>
    <t>25167 - Verkoper</t>
  </si>
  <si>
    <t>25175 - Facilitair leidinggevende</t>
  </si>
  <si>
    <t>25407 - Beveiliger</t>
  </si>
  <si>
    <t>25408 - Coördinator beveiliging</t>
  </si>
  <si>
    <t>25371 - Logistiek medewerker</t>
  </si>
  <si>
    <t>25498 - Helpende zorg en welzijn</t>
  </si>
  <si>
    <t>25499 - Medewerker facilitaire dienstverlening</t>
  </si>
  <si>
    <t>Opleidingen Economie &amp; Handel</t>
  </si>
  <si>
    <t>22157 - Secretariële Beroepen</t>
  </si>
  <si>
    <t>22158 - Financiële beroepen</t>
  </si>
  <si>
    <t>22164 - Commercieel Medewerker</t>
  </si>
  <si>
    <t>23064 - Commerciële beroepen</t>
  </si>
  <si>
    <t>23065 - Financieel administratieve beroepen</t>
  </si>
  <si>
    <t>23069 - Secretariële beroepen</t>
  </si>
  <si>
    <t>23076 - Management retail</t>
  </si>
  <si>
    <t>23079 - Ondernemerschap retail</t>
  </si>
  <si>
    <t>23080 - Verkoop</t>
  </si>
  <si>
    <t>23143 - Logistiek</t>
  </si>
  <si>
    <t>25132 - (Junior) accountmanager</t>
  </si>
  <si>
    <t>25134 - Commercieel medewerker</t>
  </si>
  <si>
    <t>25138 - Bedrijfsadministrateur</t>
  </si>
  <si>
    <t>25139 - Financieel administratief medewerker</t>
  </si>
  <si>
    <t>25140 - Junior Assistent-Accountant</t>
  </si>
  <si>
    <t>25151 - Managementassistent/ Directiesecretaresse</t>
  </si>
  <si>
    <t>25152 - Secretaresse</t>
  </si>
  <si>
    <t>23231 - Office- en managementsupport</t>
  </si>
  <si>
    <t>25574 - Management assistant</t>
  </si>
  <si>
    <t>25573 - Office assistant</t>
  </si>
  <si>
    <t>25155 - Verkoopspecialist</t>
  </si>
  <si>
    <t>25162 - Manager retail</t>
  </si>
  <si>
    <t>25388 - Logistiek supervisor</t>
  </si>
  <si>
    <t>25166 - Ondernemer retail</t>
  </si>
  <si>
    <t>25372 - Logistiek teamleider</t>
  </si>
  <si>
    <t>Opleidingen Gezondheidzorg</t>
  </si>
  <si>
    <t>23181 - Maatschappelijke Zorg</t>
  </si>
  <si>
    <t>25480 - Mbo-Verpleegkundige</t>
  </si>
  <si>
    <t>25491 - Verzorgende-IG</t>
  </si>
  <si>
    <t>25491c - Combi VZ/MZ</t>
  </si>
  <si>
    <t>25473 - Doktersassistent</t>
  </si>
  <si>
    <t>92640 - Helpende Zorg &amp; Welzijn</t>
  </si>
  <si>
    <t>95520 - Mbo-Verpleegkundige</t>
  </si>
  <si>
    <t>95530 - Verzorgende-IG 1-dag</t>
  </si>
  <si>
    <t>95530 - Verzorgende-IG 5-mnd</t>
  </si>
  <si>
    <t>Opleidingen Techniek &amp; ICT</t>
  </si>
  <si>
    <t>25246 - Monteur mobiele werktuigen</t>
  </si>
  <si>
    <t>25241 - Allround monteur mobiele werktuigen</t>
  </si>
  <si>
    <t>25242 - Autotechnicus</t>
  </si>
  <si>
    <t>25244 - Eerste autotechnicus</t>
  </si>
  <si>
    <t>25249 - Technisch Specialist personenauto’s</t>
  </si>
  <si>
    <t>25243 - Bedrijfsautotechnicus</t>
  </si>
  <si>
    <t>25245 - Eerste bedrijfsautotechnicus</t>
  </si>
  <si>
    <t>25364 - Chauffeur wegvervoer</t>
  </si>
  <si>
    <t>25549 - Chauffeur wegvervoer</t>
  </si>
  <si>
    <t>25029 - Gezel Schilder</t>
  </si>
  <si>
    <t>25018 - Meubelmaker/(scheeps)interieurbouwer</t>
  </si>
  <si>
    <t>25030 - Schilder</t>
  </si>
  <si>
    <t xml:space="preserve">25102 - Allround Metselaar </t>
  </si>
  <si>
    <t>25117 - Tegelzetter</t>
  </si>
  <si>
    <t>25103 - Metselaar</t>
  </si>
  <si>
    <t>26017 - Keukenmonteur (cross-over)</t>
  </si>
  <si>
    <t>25017 - Allround meubelmaker/(scheeps)interieurbouwer</t>
  </si>
  <si>
    <t>25024 - Servicemedewerker gebouwen (bedrijfsopleiding Keukenmonteur)</t>
  </si>
  <si>
    <t>25105 - Middenkaderfunctionaris Infra</t>
  </si>
  <si>
    <t>25119 - Uitvoerder Bouw/Infra</t>
  </si>
  <si>
    <t>25104 - Middenkaderfunctionaris Bouw</t>
  </si>
  <si>
    <t>25118 - Allround Timmerman</t>
  </si>
  <si>
    <t>25128 - Timmerman</t>
  </si>
  <si>
    <t>94051 - Middenkaderfunctionaris Bouw</t>
  </si>
  <si>
    <t>Elektrotechniek</t>
  </si>
  <si>
    <t>25263 - Technicus elektrotechnische installaties woning en utiliteit</t>
  </si>
  <si>
    <t>25297 - Technicus middenkader engineering elektrotechniek</t>
  </si>
  <si>
    <t>25350 - Monteur werktuigkundige installaties</t>
  </si>
  <si>
    <t>25350b - Monteur werktuigkundige installaties (Barneveldse Techniekopleiding)</t>
  </si>
  <si>
    <t>25349 - Eerste monteur woning</t>
  </si>
  <si>
    <t>25349b - Eerste monteur woning (Barneveldse Techniekopleiding)</t>
  </si>
  <si>
    <t>25348 - Eerste monteur utiliteit</t>
  </si>
  <si>
    <t>25331 - Eerste monteur elektrotechnische industriële installaties en systemen</t>
  </si>
  <si>
    <t>25331b - Eerste monteur elektrotechnische industriële installaties en systemen (Barneveldse Techniekopleiding)</t>
  </si>
  <si>
    <t>25332 - Eerste monteur elektrotechnische installaties woning en utiliteit</t>
  </si>
  <si>
    <t>25332b - Eerste monteur elektrotechnische installaties woning en utiliteit (Barneveldse Techniekopleiding)</t>
  </si>
  <si>
    <t>25333 - Monteur elektrotechnische installaties</t>
  </si>
  <si>
    <t>25333b - Monteur elektrotechnische installaties (Barneveldse Techniekopleiding)</t>
  </si>
  <si>
    <t>94421 - Technicus middenkader engineer Elektrotechniek</t>
  </si>
  <si>
    <t>ICT-opleidingen</t>
  </si>
  <si>
    <t>25187 - Applicatie- en mediaontwikkelaar</t>
  </si>
  <si>
    <t>25189 - ICT-beheerder</t>
  </si>
  <si>
    <t>25190 - Netwerk- en mediabeheerder</t>
  </si>
  <si>
    <t>25190 - Netwerk- en mediabeheerder (na Medewerker Beheer ICT)</t>
  </si>
  <si>
    <t>25191 - Medewerker Beheer ICT</t>
  </si>
  <si>
    <t>25192 - Medewerker ICT</t>
  </si>
  <si>
    <t>95060 - Medewerker ICT</t>
  </si>
  <si>
    <t>95070 - Medewerker beheer ICT</t>
  </si>
  <si>
    <t>95311 - Applicatieontwikkelaar</t>
  </si>
  <si>
    <t>95313 - Mediadeveloper</t>
  </si>
  <si>
    <t>95321 - ICT beheerder</t>
  </si>
  <si>
    <t>95323 - Netwerkbeheerder</t>
  </si>
  <si>
    <t>25342 - Monteur mechatronica</t>
  </si>
  <si>
    <t>25342b - Monteur mechatronica (Barneveldse Techniekopleiding)</t>
  </si>
  <si>
    <t xml:space="preserve">25543 - Monteur metalen daken en gevels </t>
  </si>
  <si>
    <t>25340 - Eerste monteur mechatronica</t>
  </si>
  <si>
    <t>25340b - Eerste monteur mechatronica (Barneveldse Techniekopleiding)</t>
  </si>
  <si>
    <t>25291 - Constructiewerker</t>
  </si>
  <si>
    <t>25291b - Constructiewerker (Barneveldse Techniekopleiding)</t>
  </si>
  <si>
    <t>25286 - Allround constructiewerker</t>
  </si>
  <si>
    <t>25286b - Allround constructiewerker (Barneveldse Techniekopleiding)</t>
  </si>
  <si>
    <t>25293 - Plaatwerker</t>
  </si>
  <si>
    <t>25293b - Plaatwerker (Barneveldse Techniekopleiding)</t>
  </si>
  <si>
    <t>25289 - Allround plaatwerker</t>
  </si>
  <si>
    <t>25289b - Allround plaatwerker (Barneveldse Techniekopleiding)</t>
  </si>
  <si>
    <t>25302 - Verspaner</t>
  </si>
  <si>
    <t>25302b - Verspaner (Barneveldse Techniekopleiding)</t>
  </si>
  <si>
    <t>25298 - Allround verspaner</t>
  </si>
  <si>
    <t>25298b - Allround verspaner (Barneveldse Techniekopleiding)</t>
  </si>
  <si>
    <t>25297 - Technicus middenkader engineering Werktuigbouwkunde</t>
  </si>
  <si>
    <t>25312 - Tekenaar Constructeur</t>
  </si>
  <si>
    <t>25315 - Tekenaar Werktuigbouw</t>
  </si>
  <si>
    <t>94421 - Technicus middenkader engineering Werktuigbouwkunde</t>
  </si>
  <si>
    <t>Opleidingen Welzijn</t>
  </si>
  <si>
    <t>23183 - Pedagogisch Werk</t>
  </si>
  <si>
    <t>23185 - Sociaal werk</t>
  </si>
  <si>
    <t>25474 - Agogisch medewerker GGZ</t>
  </si>
  <si>
    <t>25474 - Agogisch medewerker GGZ (Sprint)</t>
  </si>
  <si>
    <t>25475 - Begeleider gehandicaptenzorg</t>
  </si>
  <si>
    <t>25476 - Begeleider specifieke doelgroepen</t>
  </si>
  <si>
    <t>25477 - Persoonlijk begeleider gehandicaptenzorg</t>
  </si>
  <si>
    <t>25477 - Persoonlijk begeleider gehandicaptenzorg (Sprint)</t>
  </si>
  <si>
    <t>25478 - Persoonlijk begeleider specifieke doelgroepen</t>
  </si>
  <si>
    <t>25478 - Persoonlijk begeleider specifieke doelgroepen (Sprint)</t>
  </si>
  <si>
    <t>25479 - Thuisbegeleider</t>
  </si>
  <si>
    <t>25479 - Thuisbegeleider (Sprint)</t>
  </si>
  <si>
    <t>25484 - Gespecialiseerd pedagogisch medewerker</t>
  </si>
  <si>
    <t>25484 - Gespecialiseerd pedagogisch medewerker (Sprint)</t>
  </si>
  <si>
    <t>25485 - Onderwijsassistent</t>
  </si>
  <si>
    <t>25485 - Onderwijsassistent (Sprint)</t>
  </si>
  <si>
    <t>25486 - Pedagogisch medewerker kinderopvang</t>
  </si>
  <si>
    <t>25488 - Sociaal-cultureel werker</t>
  </si>
  <si>
    <t>25488 - Sociaal-cultureel werker (Sprint)</t>
  </si>
  <si>
    <t>25489 - Sociaal-maatschappelijk dienstverlener</t>
  </si>
  <si>
    <t>25489 - Sociaal-maatschappelijk dienstverlener (Sprint)</t>
  </si>
  <si>
    <t>Aantal maanden</t>
  </si>
  <si>
    <t>-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</si>
  <si>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</si>
  <si>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</si>
  <si>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</si>
  <si>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</si>
  <si>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</si>
  <si>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</si>
  <si>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</si>
  <si>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</si>
  <si>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</si>
  <si>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</si>
  <si>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</si>
  <si>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</si>
  <si>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</si>
  <si>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</si>
  <si>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</si>
  <si>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</si>
  <si>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</si>
  <si>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</si>
  <si>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</si>
  <si>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</si>
  <si>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</si>
  <si>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Annemieke Top-van Nifterik, e-mail: nka@hoornbeeck.nl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</si>
  <si>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</si>
  <si>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</si>
  <si>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</si>
  <si>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</si>
  <si>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</si>
  <si>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</si>
  <si>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</si>
  <si>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Begindatum</t>
  </si>
  <si>
    <t>Einddatum</t>
  </si>
  <si>
    <t>Norm.owt</t>
  </si>
  <si>
    <t>Norm.BOT</t>
  </si>
  <si>
    <t>Norm.BPV</t>
  </si>
  <si>
    <t>P1.BOT</t>
  </si>
  <si>
    <t>P1.BPV</t>
  </si>
  <si>
    <t>P2.BOT</t>
  </si>
  <si>
    <t>P2.BPV</t>
  </si>
  <si>
    <t>P3.BOT</t>
  </si>
  <si>
    <t>P3.BPV</t>
  </si>
  <si>
    <t>P4.BOT</t>
  </si>
  <si>
    <t>P4.BPV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</si>
</sst>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Alignment="1">
      <alignment horizontal="center"/>
    </xf>
    <xf numFmtId="166" fontId="0" fillId="0" borderId="0" xfId="1" applyNumberFormat="1" applyFont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0" fillId="2" borderId="5" xfId="0" applyFill="1" applyBorder="1" applyAlignment="1" applyProtection="1">
      <alignment horizontal="left"/>
      <protection locked="0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left"/>
    </xf>
    <xf numFmtId="170" fontId="1" fillId="2" borderId="5" xfId="0" applyNumberFormat="1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>
      <alignment horizontal="center"/>
    </xf>
    <xf numFmtId="164" fontId="1" fillId="4" borderId="5" xfId="1" applyNumberFormat="1" applyFont="1" applyFill="1" applyBorder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/>
    <xf numFmtId="164" fontId="2" fillId="4" borderId="5" xfId="1" applyNumberFormat="1" applyFont="1" applyFill="1" applyBorder="1"/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>
      <alignment horizontal="right"/>
    </xf>
    <xf numFmtId="9" fontId="1" fillId="4" borderId="10" xfId="2" applyFont="1" applyFill="1" applyBorder="1" applyAlignment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>
      <alignment horizontal="center"/>
    </xf>
    <xf numFmtId="164" fontId="1" fillId="4" borderId="3" xfId="1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/>
    </xf>
    <xf numFmtId="164" fontId="3" fillId="4" borderId="3" xfId="1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0" fillId="4" borderId="0" xfId="0" applyNumberFormat="1" applyFill="1" applyAlignment="1">
      <alignment horizontal="left" wrapText="1"/>
    </xf>
    <xf numFmtId="0" fontId="5" fillId="3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44"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R384"/>
  <sheetViews>
    <sheetView showGridLines="0" tabSelected="1" topLeftCell="A25" zoomScaleNormal="100" workbookViewId="0">
      <selection activeCell="D25" sqref="D25"/>
    </sheetView>
  </sheetViews>
  <sheetFormatPr defaultColWidth="9.109375" defaultRowHeight="14.4" zeroHeight="1" x14ac:dyDescent="0.3"/>
  <cols>
    <col min="1" max="1" width="3.33203125" style="71" customWidth="1"/>
    <col min="2" max="2" width="11" style="71" customWidth="1"/>
    <col min="3" max="3" width="11.88671875" style="71" customWidth="1"/>
    <col min="4" max="4" width="11" style="71" customWidth="1"/>
    <col min="5" max="5" width="7.5546875" style="71" customWidth="1"/>
    <col min="6" max="6" width="2.88671875" style="71" customWidth="1"/>
    <col min="7" max="7" width="10.6640625" style="83" customWidth="1"/>
    <col min="8" max="8" width="10.88671875" style="71" customWidth="1"/>
    <col min="9" max="9" width="9.88671875" style="71" customWidth="1"/>
    <col min="10" max="10" width="10.44140625" style="71" customWidth="1"/>
    <col min="11" max="11" width="12.44140625" style="71" customWidth="1"/>
    <col min="12" max="12" width="3.33203125" style="72" customWidth="1"/>
    <col min="13" max="13" width="18.109375" style="73" hidden="1" customWidth="1"/>
    <col min="14" max="14" width="12" style="74" hidden="1" customWidth="1"/>
    <col min="15" max="15" width="9.88671875" style="82" hidden="1" customWidth="1"/>
    <col min="16" max="16" width="10.109375" style="82" hidden="1" customWidth="1"/>
    <col min="17" max="17" width="10.5546875" style="75" hidden="1" customWidth="1"/>
    <col min="18" max="18" width="10" style="75" bestFit="1" customWidth="1"/>
    <col min="19" max="16384" width="9.109375" style="75"/>
  </cols>
  <sheetData>
    <row r="1" spans="2:16" ht="15" customHeight="1" x14ac:dyDescent="0.3">
      <c r="B1" s="98"/>
      <c r="C1" s="98"/>
      <c r="D1" s="98"/>
      <c r="E1" s="98"/>
      <c r="F1" s="98"/>
      <c r="G1" s="98"/>
      <c r="H1" s="98"/>
      <c r="I1" s="98"/>
      <c r="J1" s="98"/>
      <c r="K1" s="98"/>
      <c r="M1" s="94"/>
      <c r="N1" s="99"/>
      <c r="O1" s="100"/>
      <c r="P1" s="100"/>
    </row>
    <row r="2" spans="2:16" ht="29.25" customHeight="1" x14ac:dyDescent="0.3">
      <c r="B2" s="136" t="s">
        <v>0</v>
      </c>
      <c r="C2" s="137"/>
      <c r="D2" s="137"/>
      <c r="E2" s="137"/>
      <c r="F2" s="137"/>
      <c r="G2" s="137"/>
      <c r="H2" s="137"/>
      <c r="I2" s="137"/>
      <c r="J2" s="137"/>
      <c r="K2" s="138"/>
      <c r="M2" s="94"/>
      <c r="N2" s="99"/>
      <c r="O2" s="100"/>
      <c r="P2" s="100"/>
    </row>
    <row r="3" spans="2:16" ht="14.1" customHeight="1" x14ac:dyDescent="0.3">
      <c r="B3" s="54" t="s">
        <v>1</v>
      </c>
      <c r="C3" s="76"/>
      <c r="D3" s="76"/>
      <c r="E3" s="76"/>
      <c r="F3" s="76"/>
      <c r="G3" s="76"/>
      <c r="H3" s="97">
        <v>25171</v>
      </c>
      <c r="I3" s="76"/>
      <c r="J3" s="76"/>
      <c r="K3" s="76"/>
      <c r="M3" s="94" t="s">
        <v>2</v>
      </c>
      <c r="N3" s="99" t="str">
        <f>VLOOKUP($D$4,Parameters!$A$67:$B$71,2,FALSE)</f>
        <v>Dienstverlening</v>
      </c>
      <c r="O3" s="100"/>
      <c r="P3" s="100"/>
    </row>
    <row r="4" spans="2:16" x14ac:dyDescent="0.3">
      <c r="B4" s="98" t="s">
        <v>3</v>
      </c>
      <c r="C4" s="98"/>
      <c r="D4" s="149" t="s">
        <v>4</v>
      </c>
      <c r="E4" s="141"/>
      <c r="F4" s="98"/>
      <c r="G4" s="77" t="s">
        <v>5</v>
      </c>
      <c r="H4" s="148" t="s">
        <v>6</v>
      </c>
      <c r="I4" s="148"/>
      <c r="J4" s="98"/>
      <c r="K4" s="98"/>
      <c r="M4" s="94" t="s">
        <v>7</v>
      </c>
      <c r="N4" s="99" t="str">
        <f>IF($D$4="Techniek &amp; ICT",$H$4,"")</f>
        <v/>
      </c>
      <c r="O4" s="100"/>
      <c r="P4" s="100"/>
    </row>
    <row r="5" spans="2:16" x14ac:dyDescent="0.3">
      <c r="B5" s="98" t="s">
        <v>8</v>
      </c>
      <c r="C5" s="98"/>
      <c r="D5" s="139" t="s">
        <v>9</v>
      </c>
      <c r="E5" s="140"/>
      <c r="F5" s="140"/>
      <c r="G5" s="140"/>
      <c r="H5" s="140"/>
      <c r="I5" s="140"/>
      <c r="J5" s="140"/>
      <c r="K5" s="141"/>
      <c r="M5" s="94" t="s">
        <v>10</v>
      </c>
      <c r="N5" s="94" t="str">
        <f>VLOOKUP($D$6,Parameters!$A$51:$E$52,2,FALSE)</f>
        <v>BOL</v>
      </c>
      <c r="O5" s="100"/>
      <c r="P5" s="100"/>
    </row>
    <row r="6" spans="2:16" x14ac:dyDescent="0.3">
      <c r="B6" s="98" t="s">
        <v>11</v>
      </c>
      <c r="C6" s="98"/>
      <c r="D6" s="139" t="s">
        <v>12</v>
      </c>
      <c r="E6" s="141"/>
      <c r="F6" s="98"/>
      <c r="G6" s="101" t="str">
        <f>"(Niveau "&amp;N8&amp;")"</f>
        <v>(Niveau 3)</v>
      </c>
      <c r="H6" s="101"/>
      <c r="I6" s="98"/>
      <c r="J6" s="98"/>
      <c r="K6" s="98"/>
      <c r="M6" s="94" t="s">
        <v>13</v>
      </c>
      <c r="N6" s="94">
        <f>VLOOKUP($D$6,Parameters!$A$51:$E$52,3,FALSE)</f>
        <v>2</v>
      </c>
      <c r="O6" s="100"/>
      <c r="P6" s="100"/>
    </row>
    <row r="7" spans="2:16" x14ac:dyDescent="0.3">
      <c r="B7" s="98" t="s">
        <v>14</v>
      </c>
      <c r="C7" s="98"/>
      <c r="D7" s="139" t="s">
        <v>15</v>
      </c>
      <c r="E7" s="141"/>
      <c r="F7" s="98"/>
      <c r="G7" s="101" t="str">
        <f>"(Leerjaar "&amp;N7&amp;")"</f>
        <v>(Leerjaar 1)</v>
      </c>
      <c r="H7" s="101"/>
      <c r="I7" s="98"/>
      <c r="J7" s="98"/>
      <c r="K7" s="98"/>
      <c r="M7" s="94" t="s">
        <v>16</v>
      </c>
      <c r="N7" s="94">
        <f>VLOOKUP($D$7,Parameters!$A$74:$B$77,2,FALSE)</f>
        <v>1</v>
      </c>
      <c r="O7" s="100"/>
      <c r="P7" s="100"/>
    </row>
    <row r="8" spans="2:16" x14ac:dyDescent="0.3">
      <c r="B8" s="98" t="s">
        <v>17</v>
      </c>
      <c r="C8" s="98"/>
      <c r="D8" s="139" t="s">
        <v>18</v>
      </c>
      <c r="E8" s="141"/>
      <c r="F8" s="98"/>
      <c r="G8" s="78" t="str">
        <f>IF(N11="sprint","(Sprint-traject)","")</f>
        <v/>
      </c>
      <c r="H8" s="98"/>
      <c r="I8" s="98"/>
      <c r="J8" s="98"/>
      <c r="K8" s="98"/>
      <c r="M8" s="99" t="s">
        <v>19</v>
      </c>
      <c r="N8" s="99">
        <f>VLOOKUP($D$5,Opleidingen!A2:B163,2,FALSE)</f>
        <v>3</v>
      </c>
      <c r="O8" s="100"/>
      <c r="P8" s="100"/>
    </row>
    <row r="9" spans="2:16" x14ac:dyDescent="0.3">
      <c r="B9" s="98" t="s">
        <v>20</v>
      </c>
      <c r="C9" s="98"/>
      <c r="D9" s="102">
        <v>43709</v>
      </c>
      <c r="E9" s="98"/>
      <c r="F9" s="98"/>
      <c r="G9" s="98" t="s">
        <v>21</v>
      </c>
      <c r="H9" s="98"/>
      <c r="I9" s="98"/>
      <c r="J9" s="98"/>
      <c r="K9" s="98"/>
      <c r="M9" s="94" t="s">
        <v>22</v>
      </c>
      <c r="N9" s="94">
        <f>VLOOKUP($D$8,Parameters!$A$4:$R$27,17,FALSE)</f>
        <v>20</v>
      </c>
      <c r="O9" s="100"/>
      <c r="P9" s="100"/>
    </row>
    <row r="10" spans="2:16" x14ac:dyDescent="0.3">
      <c r="B10" s="98" t="s">
        <v>23</v>
      </c>
      <c r="C10" s="98"/>
      <c r="D10" s="102">
        <v>44773</v>
      </c>
      <c r="E10" s="98"/>
      <c r="F10" s="98"/>
      <c r="G10" s="98" t="s">
        <v>21</v>
      </c>
      <c r="H10" s="98"/>
      <c r="I10" s="98"/>
      <c r="J10" s="98"/>
      <c r="K10" s="98"/>
      <c r="M10" s="94" t="s">
        <v>24</v>
      </c>
      <c r="N10" s="99">
        <f>VLOOKUP($D$8,Parameters!$A$4:$R$27,18,FALSE)</f>
        <v>2</v>
      </c>
      <c r="O10" s="100"/>
      <c r="P10" s="100"/>
    </row>
    <row r="11" spans="2:16" ht="14.1" customHeight="1" x14ac:dyDescent="0.3">
      <c r="B11" s="98"/>
      <c r="C11" s="98"/>
      <c r="D11" s="98"/>
      <c r="E11" s="98"/>
      <c r="F11" s="98"/>
      <c r="G11" s="98"/>
      <c r="H11" s="98"/>
      <c r="I11" s="98"/>
      <c r="J11" s="98"/>
      <c r="K11" s="98"/>
      <c r="M11" s="94" t="s">
        <v>25</v>
      </c>
      <c r="N11" s="99" t="str">
        <f>IF(ISERROR(SEARCH("sprint",$D$5)),"regulier","sprint")</f>
        <v>regulier</v>
      </c>
      <c r="O11" s="100"/>
      <c r="P11" s="100"/>
    </row>
    <row r="12" spans="2:16" x14ac:dyDescent="0.3">
      <c r="B12" s="103" t="s">
        <v>26</v>
      </c>
      <c r="C12" s="104"/>
      <c r="D12" s="104"/>
      <c r="E12" s="104"/>
      <c r="F12" s="104"/>
      <c r="G12" s="104"/>
      <c r="H12" s="104"/>
      <c r="I12" s="104"/>
      <c r="J12" s="104"/>
      <c r="K12" s="105" t="str">
        <f>IF(K14=0,"Ja","Nee")</f>
        <v>Ja</v>
      </c>
      <c r="M12" s="94" t="s">
        <v>27</v>
      </c>
      <c r="N12" s="99" t="str">
        <f>MID(D5,1,5)</f>
        <v>25171</v>
      </c>
      <c r="O12" s="100"/>
      <c r="P12" s="100"/>
    </row>
    <row r="13" spans="2:16" x14ac:dyDescent="0.3">
      <c r="B13" s="103" t="s">
        <v>28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IF(N50=0,"Ja","Nee")</f>
        <v>Ja</v>
      </c>
      <c r="M13" s="94"/>
      <c r="N13" s="99"/>
      <c r="O13" s="100"/>
      <c r="P13" s="100"/>
    </row>
    <row r="14" spans="2:16" x14ac:dyDescent="0.3">
      <c r="B14" s="79" t="s">
        <v>29</v>
      </c>
      <c r="C14" s="80"/>
      <c r="D14" s="80"/>
      <c r="E14" s="80"/>
      <c r="F14" s="80"/>
      <c r="G14" s="106"/>
      <c r="H14" s="106"/>
      <c r="I14" s="106"/>
      <c r="J14" s="106"/>
      <c r="K14" s="81">
        <f>COUNTIF(M17:M21,"Nee")</f>
        <v>0</v>
      </c>
      <c r="M14" s="94"/>
      <c r="N14" s="99"/>
      <c r="O14" s="100"/>
      <c r="P14" s="100"/>
    </row>
    <row r="15" spans="2:16" ht="9" customHeight="1" x14ac:dyDescent="0.3">
      <c r="B15" s="98"/>
      <c r="C15" s="98"/>
      <c r="D15" s="98"/>
      <c r="E15" s="98"/>
      <c r="F15" s="98"/>
      <c r="G15" s="98"/>
      <c r="H15" s="98"/>
      <c r="I15" s="98"/>
      <c r="J15" s="98"/>
      <c r="K15" s="98"/>
      <c r="M15" s="94"/>
      <c r="N15" s="99"/>
      <c r="O15" s="100"/>
      <c r="P15" s="100"/>
    </row>
    <row r="16" spans="2:16" x14ac:dyDescent="0.3">
      <c r="B16" s="142"/>
      <c r="C16" s="142"/>
      <c r="D16" s="142"/>
      <c r="E16" s="142"/>
      <c r="F16" s="143"/>
      <c r="G16" s="144" t="s">
        <v>30</v>
      </c>
      <c r="H16" s="145"/>
      <c r="I16" s="146" t="s">
        <v>31</v>
      </c>
      <c r="J16" s="147"/>
      <c r="K16" s="107" t="s">
        <v>32</v>
      </c>
      <c r="M16" s="108" t="s">
        <v>33</v>
      </c>
      <c r="N16" s="27" t="s">
        <v>34</v>
      </c>
      <c r="O16" s="100"/>
      <c r="P16" s="100"/>
    </row>
    <row r="17" spans="1:18" x14ac:dyDescent="0.3">
      <c r="A17" s="98"/>
      <c r="B17" s="150" t="s">
        <v>35</v>
      </c>
      <c r="C17" s="151"/>
      <c r="D17" s="151"/>
      <c r="E17" s="151"/>
      <c r="F17" s="151"/>
      <c r="G17" s="152">
        <f>N17</f>
        <v>2000</v>
      </c>
      <c r="H17" s="153"/>
      <c r="I17" s="152">
        <f>(I18+I19+I20)</f>
        <v>2108</v>
      </c>
      <c r="J17" s="153"/>
      <c r="K17" s="105" t="str">
        <f>IF(I17="-","",IF(K50&gt;(I17-1),"Ja","Nee"))</f>
        <v>Ja</v>
      </c>
      <c r="M17" s="94" t="str">
        <f>IF(K50&gt;G17,"Ja","Nee")</f>
        <v>Ja</v>
      </c>
      <c r="N17" s="109">
        <f>O17</f>
        <v>2000</v>
      </c>
      <c r="O17" s="96">
        <f>IF(ISERROR(P17),(VLOOKUP($D$8,Parameters!$A$4:$R$47,$N$6,FALSE)),(VLOOKUP($H$3,Parameters!$A$4:$R$47,$N$6,FALSE)))</f>
        <v>2000</v>
      </c>
      <c r="P17" s="100" t="e">
        <f>VLOOKUP($H$3,Parameters!$A$4:$R$47,$N$6,FALSE)</f>
        <v>#N/A</v>
      </c>
      <c r="Q17" s="110"/>
      <c r="R17" s="110"/>
    </row>
    <row r="18" spans="1:18" x14ac:dyDescent="0.3">
      <c r="A18" s="98"/>
      <c r="B18" s="150" t="s">
        <v>36</v>
      </c>
      <c r="C18" s="151"/>
      <c r="D18" s="151"/>
      <c r="E18" s="151"/>
      <c r="F18" s="151"/>
      <c r="G18" s="152">
        <f>N18</f>
        <v>1050</v>
      </c>
      <c r="H18" s="153"/>
      <c r="I18" s="152">
        <f>IF(G18="-","-",G18*(100%+Parameters!$B$61))</f>
        <v>1134</v>
      </c>
      <c r="J18" s="153"/>
      <c r="K18" s="105" t="str">
        <f>IF(I18="-","nvt",IF(I50&lt;G18,"Nee",IF(I50&lt;I18,"Nee","Ja")))</f>
        <v>Ja</v>
      </c>
      <c r="M18" s="94" t="str">
        <f>IF(G18="-","nvt",IF(I50&gt;G18,"Ja","Nee"))</f>
        <v>Ja</v>
      </c>
      <c r="N18" s="109">
        <f>O18</f>
        <v>1050</v>
      </c>
      <c r="O18" s="96">
        <v>1050</v>
      </c>
      <c r="P18" s="100" t="e">
        <f>VLOOKUP($H$3,Parameters!$A$4:$R$47,$N$6+3,FALSE)</f>
        <v>#N/A</v>
      </c>
      <c r="Q18" s="110"/>
      <c r="R18" s="111"/>
    </row>
    <row r="19" spans="1:18" x14ac:dyDescent="0.3">
      <c r="A19" s="98"/>
      <c r="B19" s="150" t="s">
        <v>37</v>
      </c>
      <c r="C19" s="151"/>
      <c r="D19" s="151"/>
      <c r="E19" s="151"/>
      <c r="F19" s="151"/>
      <c r="G19" s="152">
        <f>N19</f>
        <v>650</v>
      </c>
      <c r="H19" s="153"/>
      <c r="I19" s="152">
        <f>IF(G19="-","-",G19*(100%))</f>
        <v>650</v>
      </c>
      <c r="J19" s="153"/>
      <c r="K19" s="105" t="str">
        <f>IF(I19="-","nvt",IF(J50&gt;(I19-1),"Ja","Nee"))</f>
        <v>Ja</v>
      </c>
      <c r="M19" s="94" t="str">
        <f>IF(G19="-","nvt",IF(J50&gt;G19,"Ja","Nee"))</f>
        <v>Ja</v>
      </c>
      <c r="N19" s="109">
        <f>O19</f>
        <v>650</v>
      </c>
      <c r="O19" s="96">
        <v>650</v>
      </c>
      <c r="P19" s="100" t="e">
        <f>VLOOKUP($H$3,Parameters!$A$4:$R$47,$N$6+6,FALSE)</f>
        <v>#N/A</v>
      </c>
      <c r="Q19" s="110"/>
      <c r="R19" s="110"/>
    </row>
    <row r="20" spans="1:18" x14ac:dyDescent="0.3">
      <c r="A20" s="98"/>
      <c r="B20" s="150" t="s">
        <v>38</v>
      </c>
      <c r="C20" s="151"/>
      <c r="D20" s="151"/>
      <c r="E20" s="151"/>
      <c r="F20" s="151"/>
      <c r="G20" s="152">
        <f>N20</f>
        <v>300</v>
      </c>
      <c r="H20" s="153"/>
      <c r="I20" s="152">
        <f>IF(G20="-","-",G20*(100%+Parameters!$B$61))</f>
        <v>324</v>
      </c>
      <c r="J20" s="153"/>
      <c r="K20" s="105" t="s">
        <v>39</v>
      </c>
      <c r="M20" s="94" t="s">
        <v>39</v>
      </c>
      <c r="N20" s="109">
        <f>O20</f>
        <v>300</v>
      </c>
      <c r="O20" s="96">
        <f>IF(ISERROR(P20),(VLOOKUP($D$8,Parameters!$A$4:$R$47,$N$6+9,FALSE)),(VLOOKUP($H$3,Parameters!$A$4:$R$47,$N$6+9,FALSE)))</f>
        <v>300</v>
      </c>
      <c r="P20" s="100" t="e">
        <f>VLOOKUP($H$3,Parameters!$A$4:$R$47,$N$6+9,FALSE)</f>
        <v>#N/A</v>
      </c>
      <c r="Q20" s="110"/>
      <c r="R20" s="110"/>
    </row>
    <row r="21" spans="1:18" x14ac:dyDescent="0.3">
      <c r="A21" s="98"/>
      <c r="B21" s="150" t="s">
        <v>40</v>
      </c>
      <c r="C21" s="151"/>
      <c r="D21" s="151"/>
      <c r="E21" s="151"/>
      <c r="F21" s="151"/>
      <c r="G21" s="152">
        <f>N21</f>
        <v>600</v>
      </c>
      <c r="H21" s="153"/>
      <c r="I21" s="152">
        <f>IF(G21="-","-",G21*(100%+Parameters!$B$61))</f>
        <v>648</v>
      </c>
      <c r="J21" s="153"/>
      <c r="K21" s="105" t="str">
        <f>IF(I21="-","nvt",(IF(H29+I29&gt;(I21-1),"Ja","Nee")))</f>
        <v>Ja</v>
      </c>
      <c r="M21" s="94" t="str">
        <f>IF(G21="-","nvt",IF(H29+I29&gt;G21,"Ja","Nee"))</f>
        <v>Ja</v>
      </c>
      <c r="N21" s="99">
        <f>O21</f>
        <v>600</v>
      </c>
      <c r="O21" s="96">
        <v>600</v>
      </c>
      <c r="P21" s="100" t="e">
        <f>VLOOKUP($H$3,Parameters!$A$4:$R$47,$N$6+12,FALSE)</f>
        <v>#N/A</v>
      </c>
      <c r="Q21" s="110"/>
      <c r="R21" s="110"/>
    </row>
    <row r="22" spans="1:18" ht="9" customHeight="1" x14ac:dyDescent="0.3">
      <c r="A22" s="112"/>
      <c r="B22" s="98"/>
      <c r="C22" s="98"/>
      <c r="D22" s="98"/>
      <c r="E22" s="98"/>
      <c r="F22" s="98"/>
      <c r="G22" s="112"/>
      <c r="H22" s="98"/>
      <c r="I22" s="98"/>
      <c r="J22" s="98"/>
      <c r="K22" s="98"/>
      <c r="M22" s="94"/>
      <c r="N22" s="99"/>
      <c r="O22" s="100"/>
      <c r="P22" s="100"/>
      <c r="Q22" s="110"/>
      <c r="R22" s="110"/>
    </row>
    <row r="23" spans="1:18" s="85" customFormat="1" ht="15" customHeight="1" x14ac:dyDescent="0.3">
      <c r="A23" s="98"/>
      <c r="B23" s="98"/>
      <c r="C23" s="112"/>
      <c r="D23" s="155" t="s">
        <v>41</v>
      </c>
      <c r="E23" s="156"/>
      <c r="F23" s="156"/>
      <c r="G23" s="156"/>
      <c r="H23" s="156"/>
      <c r="I23" s="157"/>
      <c r="J23" s="113" t="s">
        <v>42</v>
      </c>
      <c r="K23" s="113" t="s">
        <v>43</v>
      </c>
      <c r="L23" s="72"/>
      <c r="M23" s="114"/>
      <c r="N23" s="115"/>
      <c r="O23" s="116"/>
      <c r="P23" s="116"/>
      <c r="Q23" s="117"/>
      <c r="R23" s="117"/>
    </row>
    <row r="24" spans="1:18" s="84" customFormat="1" ht="29.25" customHeight="1" x14ac:dyDescent="0.3">
      <c r="A24" s="98"/>
      <c r="B24" s="112"/>
      <c r="C24" s="112"/>
      <c r="D24" s="118" t="s">
        <v>44</v>
      </c>
      <c r="E24" s="154" t="s">
        <v>45</v>
      </c>
      <c r="F24" s="154"/>
      <c r="G24" s="119" t="s">
        <v>46</v>
      </c>
      <c r="H24" s="119" t="s">
        <v>47</v>
      </c>
      <c r="I24" s="119" t="s">
        <v>48</v>
      </c>
      <c r="J24" s="113"/>
      <c r="K24" s="113"/>
      <c r="L24" s="86"/>
      <c r="M24" s="27" t="s">
        <v>49</v>
      </c>
      <c r="N24" s="99"/>
      <c r="O24" s="120" t="s">
        <v>34</v>
      </c>
      <c r="P24" s="120" t="s">
        <v>50</v>
      </c>
      <c r="Q24" s="116"/>
      <c r="R24" s="116"/>
    </row>
    <row r="25" spans="1:18" x14ac:dyDescent="0.3">
      <c r="A25" s="98"/>
      <c r="B25" s="158" t="str">
        <f>"Leerjaar 1"</f>
        <v>Leerjaar 1</v>
      </c>
      <c r="C25" s="112" t="s">
        <v>51</v>
      </c>
      <c r="D25" s="121">
        <v>30</v>
      </c>
      <c r="E25" s="159">
        <f>(D25*Parameters!$B$62)/60</f>
        <v>25</v>
      </c>
      <c r="F25" s="160"/>
      <c r="G25" s="122">
        <f>IF($N$5="BOL",Parameters!C55,Parameters!B55)</f>
        <v>9.5</v>
      </c>
      <c r="H25" s="123">
        <f>E25*G25</f>
        <v>237.5</v>
      </c>
      <c r="I25" s="124">
        <v>0</v>
      </c>
      <c r="J25" s="124">
        <v>0</v>
      </c>
      <c r="K25" s="123">
        <f>J25+I25+H25</f>
        <v>237.5</v>
      </c>
      <c r="M25" s="99" t="s">
        <v>52</v>
      </c>
      <c r="N25" s="109">
        <f>IF(N9&gt;=10,10,N9)</f>
        <v>10</v>
      </c>
      <c r="O25" s="100"/>
      <c r="P25" s="100"/>
      <c r="Q25" s="110"/>
      <c r="R25" s="110"/>
    </row>
    <row r="26" spans="1:18" x14ac:dyDescent="0.3">
      <c r="A26" s="98"/>
      <c r="B26" s="158"/>
      <c r="C26" s="112" t="s">
        <v>53</v>
      </c>
      <c r="D26" s="124">
        <v>19</v>
      </c>
      <c r="E26" s="159">
        <f>(D26*Parameters!$B$62)/60</f>
        <v>15.833333333333334</v>
      </c>
      <c r="F26" s="160"/>
      <c r="G26" s="122">
        <f>IF($N$5="BOL",Parameters!C56,Parameters!B56)</f>
        <v>9.5</v>
      </c>
      <c r="H26" s="123">
        <f>E26*G26</f>
        <v>150.41666666666669</v>
      </c>
      <c r="I26" s="124">
        <v>0</v>
      </c>
      <c r="J26" s="124">
        <v>140</v>
      </c>
      <c r="K26" s="123">
        <f>J26+I26+H26</f>
        <v>290.41666666666669</v>
      </c>
      <c r="M26" s="99" t="s">
        <v>54</v>
      </c>
      <c r="N26" s="109">
        <f>N21*(100%+Parameters!$B$61)</f>
        <v>648</v>
      </c>
      <c r="O26" s="100">
        <v>600</v>
      </c>
      <c r="P26" s="100">
        <f>IF(H29+I29&gt;=O26,0,1)</f>
        <v>0</v>
      </c>
      <c r="Q26" s="110"/>
      <c r="R26" s="110"/>
    </row>
    <row r="27" spans="1:18" x14ac:dyDescent="0.3">
      <c r="A27" s="98"/>
      <c r="B27" s="158"/>
      <c r="C27" s="112" t="s">
        <v>55</v>
      </c>
      <c r="D27" s="124">
        <v>19</v>
      </c>
      <c r="E27" s="159">
        <f>(D27*Parameters!$B$62)/60</f>
        <v>15.833333333333334</v>
      </c>
      <c r="F27" s="160"/>
      <c r="G27" s="122">
        <f>IF($N$5="BOL",Parameters!C57,Parameters!B57)</f>
        <v>9.5</v>
      </c>
      <c r="H27" s="123">
        <f>E27*G27</f>
        <v>150.41666666666669</v>
      </c>
      <c r="I27" s="124">
        <v>0</v>
      </c>
      <c r="J27" s="124">
        <v>140</v>
      </c>
      <c r="K27" s="123">
        <f>J27+I27+H27</f>
        <v>290.41666666666669</v>
      </c>
      <c r="M27" s="99" t="s">
        <v>56</v>
      </c>
      <c r="N27" s="109">
        <f>IF(OR($N$5="BOL",$N$5="VRIJ"),0,N25*610/10)*(100%)</f>
        <v>0</v>
      </c>
      <c r="O27" s="100">
        <f>N27/(100%)</f>
        <v>0</v>
      </c>
      <c r="P27" s="100">
        <f>IF(J29&gt;=O27,0,1)</f>
        <v>0</v>
      </c>
      <c r="Q27" s="110"/>
      <c r="R27" s="110"/>
    </row>
    <row r="28" spans="1:18" x14ac:dyDescent="0.3">
      <c r="A28" s="98"/>
      <c r="B28" s="158"/>
      <c r="C28" s="112" t="s">
        <v>57</v>
      </c>
      <c r="D28" s="124">
        <v>20</v>
      </c>
      <c r="E28" s="159">
        <f>(D28*Parameters!$B$62)/60</f>
        <v>16.666666666666668</v>
      </c>
      <c r="F28" s="160"/>
      <c r="G28" s="122">
        <f>IF($N$5="BOL",Parameters!C58,Parameters!B58)</f>
        <v>8.5</v>
      </c>
      <c r="H28" s="123">
        <f>E28*G28</f>
        <v>141.66666666666669</v>
      </c>
      <c r="I28" s="124">
        <v>0</v>
      </c>
      <c r="J28" s="124">
        <v>140</v>
      </c>
      <c r="K28" s="123">
        <f>J28+I28+H28</f>
        <v>281.66666666666669</v>
      </c>
      <c r="M28" s="99" t="s">
        <v>58</v>
      </c>
      <c r="N28" s="109">
        <f>IF($N$5="BOL",N25*1000/10,IF($N$5="BBL",N25*850/10,0))*(100%+Parameters!$B$61)</f>
        <v>1080</v>
      </c>
      <c r="O28" s="100">
        <f>N28/(100%+Parameters!$B$61)</f>
        <v>999.99999999999989</v>
      </c>
      <c r="P28" s="100">
        <f>IF(K29&gt;=O28,0,1)</f>
        <v>0</v>
      </c>
      <c r="Q28" s="110"/>
      <c r="R28" s="125"/>
    </row>
    <row r="29" spans="1:18" x14ac:dyDescent="0.3">
      <c r="A29" s="98"/>
      <c r="B29" s="98"/>
      <c r="C29" s="112"/>
      <c r="D29" s="87" t="str">
        <f>IF(K29&gt;Parameters!$D$61,"Teveel uren?","")</f>
        <v>Teveel uren?</v>
      </c>
      <c r="E29" s="126"/>
      <c r="F29" s="98"/>
      <c r="G29" s="127" t="str">
        <f>"Totaal: "</f>
        <v xml:space="preserve">Totaal: </v>
      </c>
      <c r="H29" s="128">
        <f>SUM(H25:H28)</f>
        <v>680</v>
      </c>
      <c r="I29" s="128">
        <f>SUM(I25:I28)</f>
        <v>0</v>
      </c>
      <c r="J29" s="129">
        <f>SUM(J25:J28)</f>
        <v>420</v>
      </c>
      <c r="K29" s="129">
        <f>SUM(K25:K28)</f>
        <v>1100.0000000000002</v>
      </c>
      <c r="M29" s="94" t="s">
        <v>59</v>
      </c>
      <c r="N29" s="109">
        <f>IF(AND(H29+I29&gt;=N26,J29&gt;=N27,K29&gt;=N28),0,1)</f>
        <v>0</v>
      </c>
      <c r="O29" s="100"/>
      <c r="P29" s="100">
        <f>SUM(P26:P28)</f>
        <v>0</v>
      </c>
      <c r="Q29" s="110"/>
      <c r="R29" s="110"/>
    </row>
    <row r="30" spans="1:18" x14ac:dyDescent="0.3">
      <c r="A30" s="98"/>
      <c r="B30" s="98"/>
      <c r="C30" s="112"/>
      <c r="D30" s="112"/>
      <c r="E30" s="126"/>
      <c r="F30" s="98"/>
      <c r="G30" s="98"/>
      <c r="H30" s="98"/>
      <c r="I30" s="98"/>
      <c r="J30" s="98"/>
      <c r="K30" s="98"/>
      <c r="M30" s="99"/>
      <c r="N30" s="99"/>
      <c r="O30" s="100"/>
      <c r="P30" s="100"/>
      <c r="Q30" s="110"/>
      <c r="R30" s="110"/>
    </row>
    <row r="31" spans="1:18" x14ac:dyDescent="0.3">
      <c r="A31" s="98"/>
      <c r="B31" s="158" t="str">
        <f>IF($N$10&gt;=2,"Leerjaar 2","")</f>
        <v>Leerjaar 2</v>
      </c>
      <c r="C31" s="112" t="s">
        <v>51</v>
      </c>
      <c r="D31" s="124">
        <v>20</v>
      </c>
      <c r="E31" s="159">
        <f>(D31*Parameters!$B$62)/60</f>
        <v>16.666666666666668</v>
      </c>
      <c r="F31" s="160"/>
      <c r="G31" s="122">
        <f>IF($N$10&gt;=2,IF($N$5="BOL",Parameters!C55,Parameters!B55),"-")</f>
        <v>9.5</v>
      </c>
      <c r="H31" s="123">
        <f>IF(G31&lt;&gt;"-",E31*G31,0)</f>
        <v>158.33333333333334</v>
      </c>
      <c r="I31" s="124">
        <v>0</v>
      </c>
      <c r="J31" s="124">
        <v>140</v>
      </c>
      <c r="K31" s="123">
        <f t="shared" ref="K31:K34" si="0">J31+I31+H31</f>
        <v>298.33333333333337</v>
      </c>
      <c r="M31" s="99" t="s">
        <v>52</v>
      </c>
      <c r="N31" s="109">
        <f>IF(N9-N25&gt;=10,10,N9-N25)</f>
        <v>10</v>
      </c>
      <c r="O31" s="100"/>
      <c r="P31" s="100"/>
      <c r="Q31" s="110"/>
      <c r="R31" s="110"/>
    </row>
    <row r="32" spans="1:18" x14ac:dyDescent="0.3">
      <c r="A32" s="98"/>
      <c r="B32" s="158"/>
      <c r="C32" s="112" t="s">
        <v>53</v>
      </c>
      <c r="D32" s="124">
        <v>20</v>
      </c>
      <c r="E32" s="159">
        <f>(D32*Parameters!$B$62)/60</f>
        <v>16.666666666666668</v>
      </c>
      <c r="F32" s="160"/>
      <c r="G32" s="122">
        <f>IF($N$10&gt;=2,IF($N$5="BOL",Parameters!C56,Parameters!B56),"-")</f>
        <v>9.5</v>
      </c>
      <c r="H32" s="123">
        <f t="shared" ref="H32:H34" si="1">IF(G32&lt;&gt;"-",E32*G32,0)</f>
        <v>158.33333333333334</v>
      </c>
      <c r="I32" s="124">
        <v>0</v>
      </c>
      <c r="J32" s="124">
        <v>140</v>
      </c>
      <c r="K32" s="123">
        <f t="shared" si="0"/>
        <v>298.33333333333337</v>
      </c>
      <c r="M32" s="99" t="s">
        <v>54</v>
      </c>
      <c r="N32" s="109">
        <f>IF(OR($N$5="BOL",$N$5="VRIJ"),0,N31*200/10)*(100%+Parameters!$B$61)</f>
        <v>0</v>
      </c>
      <c r="O32" s="100">
        <f>N32/(100%+Parameters!$B$61)</f>
        <v>0</v>
      </c>
      <c r="P32" s="100">
        <f>IF(H35+I35&gt;=O32,0,1)</f>
        <v>0</v>
      </c>
      <c r="Q32" s="110"/>
      <c r="R32" s="110"/>
    </row>
    <row r="33" spans="2:16" x14ac:dyDescent="0.3">
      <c r="B33" s="158"/>
      <c r="C33" s="112" t="s">
        <v>55</v>
      </c>
      <c r="D33" s="124">
        <v>20</v>
      </c>
      <c r="E33" s="159">
        <f>(D33*Parameters!$B$62)/60</f>
        <v>16.666666666666668</v>
      </c>
      <c r="F33" s="160"/>
      <c r="G33" s="122">
        <f>IF($N$10&gt;=2,IF($N$5="BOL",Parameters!C57,Parameters!B57),"-")</f>
        <v>9.5</v>
      </c>
      <c r="H33" s="123">
        <f t="shared" si="1"/>
        <v>158.33333333333334</v>
      </c>
      <c r="I33" s="124">
        <v>0</v>
      </c>
      <c r="J33" s="124">
        <v>140</v>
      </c>
      <c r="K33" s="123">
        <f t="shared" si="0"/>
        <v>298.33333333333337</v>
      </c>
      <c r="M33" s="99" t="s">
        <v>56</v>
      </c>
      <c r="N33" s="109">
        <f>IF(OR($N$5="BOL",$N$5="VRIJ"),0,N31*610/10)*(100%)</f>
        <v>0</v>
      </c>
      <c r="O33" s="100">
        <f>N33/(100%)</f>
        <v>0</v>
      </c>
      <c r="P33" s="100">
        <f>IF(J35&gt;=O33,0,1)</f>
        <v>0</v>
      </c>
    </row>
    <row r="34" spans="2:16" x14ac:dyDescent="0.3">
      <c r="B34" s="158"/>
      <c r="C34" s="112" t="s">
        <v>57</v>
      </c>
      <c r="D34" s="124">
        <v>2</v>
      </c>
      <c r="E34" s="159">
        <f>(D34*Parameters!$B$62)/60</f>
        <v>1.6666666666666667</v>
      </c>
      <c r="F34" s="160"/>
      <c r="G34" s="122">
        <f>IF($N$10&gt;=2,IF($N$5="BOL",Parameters!C58,Parameters!B58),"-")</f>
        <v>8.5</v>
      </c>
      <c r="H34" s="123">
        <f t="shared" si="1"/>
        <v>14.166666666666668</v>
      </c>
      <c r="I34" s="124">
        <v>0</v>
      </c>
      <c r="J34" s="124">
        <v>220</v>
      </c>
      <c r="K34" s="123">
        <f t="shared" si="0"/>
        <v>234.16666666666666</v>
      </c>
      <c r="M34" s="99" t="s">
        <v>58</v>
      </c>
      <c r="N34" s="109">
        <f>IF($N$5="BOL",N31*1000/10,IF($N$5="BBL",N31*850/10,0))*(100%+Parameters!$B$61)</f>
        <v>1080</v>
      </c>
      <c r="O34" s="100">
        <f>N34/(100%+Parameters!$B$61)</f>
        <v>999.99999999999989</v>
      </c>
      <c r="P34" s="100">
        <f>IF(K35&gt;=O34,0,1)</f>
        <v>0</v>
      </c>
    </row>
    <row r="35" spans="2:16" x14ac:dyDescent="0.3">
      <c r="B35" s="130"/>
      <c r="C35" s="112"/>
      <c r="D35" s="87" t="str">
        <f>IF(K35&gt;Parameters!$D$61,"Teveel uren?","")</f>
        <v>Teveel uren?</v>
      </c>
      <c r="E35" s="126"/>
      <c r="F35" s="98"/>
      <c r="G35" s="127" t="str">
        <f>IF($N$10&gt;=2,"Totaal: ","")</f>
        <v xml:space="preserve">Totaal: </v>
      </c>
      <c r="H35" s="128">
        <f>SUM(H31:H34)</f>
        <v>489.16666666666669</v>
      </c>
      <c r="I35" s="128">
        <f>SUM(I31:I34)</f>
        <v>0</v>
      </c>
      <c r="J35" s="129">
        <f>SUM(J31:J34)</f>
        <v>640</v>
      </c>
      <c r="K35" s="129">
        <f>SUM(K31:K34)</f>
        <v>1129.1666666666667</v>
      </c>
      <c r="M35" s="94" t="s">
        <v>59</v>
      </c>
      <c r="N35" s="99">
        <f>IF(AND(H35+I35&gt;=N32,J35&gt;=N33,K35&gt;=N34),0,1)</f>
        <v>0</v>
      </c>
      <c r="O35" s="100"/>
      <c r="P35" s="100"/>
    </row>
    <row r="36" spans="2:16" x14ac:dyDescent="0.3">
      <c r="B36" s="98"/>
      <c r="C36" s="112"/>
      <c r="D36" s="112"/>
      <c r="E36" s="126"/>
      <c r="F36" s="98"/>
      <c r="G36" s="98"/>
      <c r="H36" s="98"/>
      <c r="I36" s="98"/>
      <c r="J36" s="98"/>
      <c r="K36" s="98"/>
      <c r="M36" s="99"/>
      <c r="N36" s="99"/>
      <c r="O36" s="100"/>
      <c r="P36" s="100"/>
    </row>
    <row r="37" spans="2:16" x14ac:dyDescent="0.3">
      <c r="B37" s="158" t="str">
        <f>IF($N$10&gt;=3,"Leerjaar 3","")</f>
        <v/>
      </c>
      <c r="C37" s="112" t="s">
        <v>51</v>
      </c>
      <c r="D37" s="124">
        <v>0</v>
      </c>
      <c r="E37" s="159">
        <f>(D37*Parameters!$B$62)/60</f>
        <v>0</v>
      </c>
      <c r="F37" s="160"/>
      <c r="G37" s="122" t="str">
        <f>IF($N$10&gt;=3,IF($N$5="BOL",Parameters!C55,Parameters!B55),"-")</f>
        <v>-</v>
      </c>
      <c r="H37" s="123">
        <f>IF(G37&lt;&gt;"-",E37*G37,0)</f>
        <v>0</v>
      </c>
      <c r="I37" s="124">
        <v>0</v>
      </c>
      <c r="J37" s="124">
        <v>0</v>
      </c>
      <c r="K37" s="123">
        <f>J37+I37+H37</f>
        <v>0</v>
      </c>
      <c r="M37" s="99" t="s">
        <v>52</v>
      </c>
      <c r="N37" s="109">
        <f>IF(N9-N25-N31&gt;=10,10,N9-N25-N31)</f>
        <v>0</v>
      </c>
      <c r="O37" s="100"/>
      <c r="P37" s="100"/>
    </row>
    <row r="38" spans="2:16" x14ac:dyDescent="0.3">
      <c r="B38" s="158"/>
      <c r="C38" s="112" t="s">
        <v>53</v>
      </c>
      <c r="D38" s="124">
        <v>0</v>
      </c>
      <c r="E38" s="159">
        <f>(D38*Parameters!$B$62)/60</f>
        <v>0</v>
      </c>
      <c r="F38" s="160"/>
      <c r="G38" s="122" t="str">
        <f>IF($N$10&gt;=3,IF($N$5="BOL",Parameters!C56,Parameters!B56),"-")</f>
        <v>-</v>
      </c>
      <c r="H38" s="123">
        <f t="shared" ref="H38:H40" si="2">IF(G38&lt;&gt;"-",E38*G38,0)</f>
        <v>0</v>
      </c>
      <c r="I38" s="124">
        <v>0</v>
      </c>
      <c r="J38" s="124">
        <v>0</v>
      </c>
      <c r="K38" s="123">
        <f>J38+I38+H38</f>
        <v>0</v>
      </c>
      <c r="M38" s="99" t="s">
        <v>54</v>
      </c>
      <c r="N38" s="109">
        <f>IF(OR($N$5="BOL",$N$5="VRIJ"),0,N37*200/10)*(100%+Parameters!$B$61)</f>
        <v>0</v>
      </c>
      <c r="O38" s="100">
        <f>N38/(100%+Parameters!$B$61)</f>
        <v>0</v>
      </c>
      <c r="P38" s="100">
        <f>IF(H41+I41&gt;=O38,0,1)</f>
        <v>0</v>
      </c>
    </row>
    <row r="39" spans="2:16" x14ac:dyDescent="0.3">
      <c r="B39" s="158"/>
      <c r="C39" s="112" t="s">
        <v>55</v>
      </c>
      <c r="D39" s="124">
        <v>0</v>
      </c>
      <c r="E39" s="159">
        <f>(D39*Parameters!$B$62)/60</f>
        <v>0</v>
      </c>
      <c r="F39" s="160"/>
      <c r="G39" s="122" t="str">
        <f>IF($N$10&gt;=3,IF($N$5="BOL",Parameters!C57,Parameters!B57),"-")</f>
        <v>-</v>
      </c>
      <c r="H39" s="123">
        <f t="shared" si="2"/>
        <v>0</v>
      </c>
      <c r="I39" s="124">
        <v>0</v>
      </c>
      <c r="J39" s="124">
        <v>0</v>
      </c>
      <c r="K39" s="123">
        <f>J39+I39+H39</f>
        <v>0</v>
      </c>
      <c r="M39" s="99" t="s">
        <v>56</v>
      </c>
      <c r="N39" s="109">
        <f>IF(OR($N$5="BOL",$N$5="VRIJ"),0,N37*610/10)*(100%)</f>
        <v>0</v>
      </c>
      <c r="O39" s="100">
        <f>N39/(100%)</f>
        <v>0</v>
      </c>
      <c r="P39" s="100">
        <f>IF(J41&gt;=O39,0,1)</f>
        <v>0</v>
      </c>
    </row>
    <row r="40" spans="2:16" x14ac:dyDescent="0.3">
      <c r="B40" s="158"/>
      <c r="C40" s="112" t="s">
        <v>57</v>
      </c>
      <c r="D40" s="124">
        <v>0</v>
      </c>
      <c r="E40" s="159">
        <f>(D40*Parameters!$B$62)/60</f>
        <v>0</v>
      </c>
      <c r="F40" s="160"/>
      <c r="G40" s="122" t="str">
        <f>IF($N$10&gt;=3,IF($N$5="BOL",Parameters!C58,Parameters!B58),"-")</f>
        <v>-</v>
      </c>
      <c r="H40" s="123">
        <f t="shared" si="2"/>
        <v>0</v>
      </c>
      <c r="I40" s="124">
        <v>0</v>
      </c>
      <c r="J40" s="124">
        <v>0</v>
      </c>
      <c r="K40" s="123">
        <f>J40+I40+H40</f>
        <v>0</v>
      </c>
      <c r="M40" s="99" t="s">
        <v>58</v>
      </c>
      <c r="N40" s="109">
        <f>IF($N$5="BOL",N37*1000/10,IF($N$5="BBL",N37*850/10,0))*(100%+Parameters!$B$61)</f>
        <v>0</v>
      </c>
      <c r="O40" s="100">
        <f>N40/(100%+Parameters!$B$61)</f>
        <v>0</v>
      </c>
      <c r="P40" s="100">
        <f>IF(K41&gt;=O40,0,1)</f>
        <v>0</v>
      </c>
    </row>
    <row r="41" spans="2:16" x14ac:dyDescent="0.3">
      <c r="B41" s="130"/>
      <c r="C41" s="112"/>
      <c r="D41" s="88" t="str">
        <f>IF(K41&gt;Parameters!$D$61,"Teveel uren?","")</f>
        <v/>
      </c>
      <c r="E41" s="126"/>
      <c r="F41" s="98"/>
      <c r="G41" s="127" t="str">
        <f>IF($N$10&gt;=3,"Totaal: ","")</f>
        <v/>
      </c>
      <c r="H41" s="128">
        <f>SUM(H37:H40)</f>
        <v>0</v>
      </c>
      <c r="I41" s="128">
        <f>SUM(I37:I40)</f>
        <v>0</v>
      </c>
      <c r="J41" s="129">
        <f>SUM(J37:J40)</f>
        <v>0</v>
      </c>
      <c r="K41" s="129">
        <f>SUM(K37:K40)</f>
        <v>0</v>
      </c>
      <c r="M41" s="94" t="s">
        <v>59</v>
      </c>
      <c r="N41" s="109">
        <f>IF(AND(H41+I41&gt;=N38,J41&gt;=N39,K41&gt;=N40),0,1)</f>
        <v>0</v>
      </c>
      <c r="O41" s="100"/>
      <c r="P41" s="100"/>
    </row>
    <row r="42" spans="2:16" x14ac:dyDescent="0.3">
      <c r="B42" s="98"/>
      <c r="C42" s="112"/>
      <c r="D42" s="98"/>
      <c r="E42" s="126"/>
      <c r="F42" s="98"/>
      <c r="G42" s="98"/>
      <c r="H42" s="98"/>
      <c r="I42" s="98"/>
      <c r="J42" s="98"/>
      <c r="K42" s="98"/>
      <c r="M42" s="99"/>
      <c r="N42" s="99"/>
      <c r="O42" s="100"/>
      <c r="P42" s="100"/>
    </row>
    <row r="43" spans="2:16" x14ac:dyDescent="0.3">
      <c r="B43" s="158" t="str">
        <f>IF($N$10&gt;=4,"Leerjaar 4","")</f>
        <v/>
      </c>
      <c r="C43" s="112" t="s">
        <v>51</v>
      </c>
      <c r="D43" s="124">
        <v>0</v>
      </c>
      <c r="E43" s="159">
        <f>(D43*Parameters!$B$62)/60</f>
        <v>0</v>
      </c>
      <c r="F43" s="160"/>
      <c r="G43" s="122" t="str">
        <f>IF($N$10&gt;=4,IF($N$5="BOL",Parameters!C55,Parameters!B55),"-")</f>
        <v>-</v>
      </c>
      <c r="H43" s="123">
        <f>IF(G43&lt;&gt;"-",E43*G43,0)</f>
        <v>0</v>
      </c>
      <c r="I43" s="124">
        <v>0</v>
      </c>
      <c r="J43" s="124">
        <v>0</v>
      </c>
      <c r="K43" s="123">
        <f>J43+I43+H43</f>
        <v>0</v>
      </c>
      <c r="M43" s="99" t="s">
        <v>52</v>
      </c>
      <c r="N43" s="109">
        <f>IF(N9-N25-N31-N37&gt;=10,10,N9-N25-N31-N37)</f>
        <v>0</v>
      </c>
      <c r="O43" s="100"/>
      <c r="P43" s="100"/>
    </row>
    <row r="44" spans="2:16" x14ac:dyDescent="0.3">
      <c r="B44" s="158"/>
      <c r="C44" s="112" t="s">
        <v>53</v>
      </c>
      <c r="D44" s="124">
        <v>0</v>
      </c>
      <c r="E44" s="159">
        <f>(D44*Parameters!$B$62)/60</f>
        <v>0</v>
      </c>
      <c r="F44" s="160"/>
      <c r="G44" s="122" t="str">
        <f>IF($N$10&gt;=4,IF($N$5="BOL",Parameters!C56,Parameters!B56),"-")</f>
        <v>-</v>
      </c>
      <c r="H44" s="123">
        <f t="shared" ref="H44:H46" si="3">IF(G44&lt;&gt;"-",E44*G44,0)</f>
        <v>0</v>
      </c>
      <c r="I44" s="124">
        <v>0</v>
      </c>
      <c r="J44" s="124">
        <v>0</v>
      </c>
      <c r="K44" s="123">
        <f>J44+I44+H44</f>
        <v>0</v>
      </c>
      <c r="M44" s="99" t="s">
        <v>54</v>
      </c>
      <c r="N44" s="109">
        <f>IF(OR($N$5="BOL",$N$5="VRIJ"),0,N43*200/10)*(100%+Parameters!$B$61)</f>
        <v>0</v>
      </c>
      <c r="O44" s="100">
        <f>N44/(100%+Parameters!$B$61)</f>
        <v>0</v>
      </c>
      <c r="P44" s="100">
        <f>IF(H47+I47&gt;=O44,0,1)</f>
        <v>0</v>
      </c>
    </row>
    <row r="45" spans="2:16" x14ac:dyDescent="0.3">
      <c r="B45" s="158"/>
      <c r="C45" s="112" t="s">
        <v>55</v>
      </c>
      <c r="D45" s="124">
        <v>0</v>
      </c>
      <c r="E45" s="159">
        <f>(D45*Parameters!$B$62)/60</f>
        <v>0</v>
      </c>
      <c r="F45" s="160"/>
      <c r="G45" s="122" t="str">
        <f>IF($N$10&gt;=4,IF($N$5="BOL",Parameters!C57,Parameters!B57),"-")</f>
        <v>-</v>
      </c>
      <c r="H45" s="123">
        <f t="shared" si="3"/>
        <v>0</v>
      </c>
      <c r="I45" s="124">
        <v>0</v>
      </c>
      <c r="J45" s="124">
        <v>0</v>
      </c>
      <c r="K45" s="123">
        <f>J45+I45+H45</f>
        <v>0</v>
      </c>
      <c r="M45" s="99" t="s">
        <v>56</v>
      </c>
      <c r="N45" s="109">
        <f>IF(OR($N$5="BOL",$N$5="VRIJ"),0,N43*610/10)*(100%)</f>
        <v>0</v>
      </c>
      <c r="O45" s="100">
        <f>N45/(100%)</f>
        <v>0</v>
      </c>
      <c r="P45" s="100">
        <f>IF(J47&gt;=O45,0,1)</f>
        <v>0</v>
      </c>
    </row>
    <row r="46" spans="2:16" x14ac:dyDescent="0.3">
      <c r="B46" s="158"/>
      <c r="C46" s="112" t="s">
        <v>57</v>
      </c>
      <c r="D46" s="124">
        <v>0</v>
      </c>
      <c r="E46" s="159">
        <f>(D46*Parameters!$B$62)/60</f>
        <v>0</v>
      </c>
      <c r="F46" s="160"/>
      <c r="G46" s="122" t="str">
        <f>IF($N$10&gt;=4,IF($N$5="BOL",Parameters!C58,Parameters!B58),"-")</f>
        <v>-</v>
      </c>
      <c r="H46" s="123">
        <f t="shared" si="3"/>
        <v>0</v>
      </c>
      <c r="I46" s="124">
        <v>0</v>
      </c>
      <c r="J46" s="124">
        <v>0</v>
      </c>
      <c r="K46" s="123">
        <f>J46+I46+H46</f>
        <v>0</v>
      </c>
      <c r="M46" s="99" t="s">
        <v>58</v>
      </c>
      <c r="N46" s="109">
        <f>IF($N$5="BOL",N43*1000/10,IF($N$5="BBL",N43*850/10,0))*(100%+Parameters!$B$61)</f>
        <v>0</v>
      </c>
      <c r="O46" s="100">
        <f>N46/(100%+Parameters!$B$61)</f>
        <v>0</v>
      </c>
      <c r="P46" s="100">
        <f>IF(K47&gt;=O46,0,1)</f>
        <v>0</v>
      </c>
    </row>
    <row r="47" spans="2:16" x14ac:dyDescent="0.3">
      <c r="B47" s="98"/>
      <c r="C47" s="98"/>
      <c r="D47" s="88" t="str">
        <f>IF(K47&gt;Parameters!$D$61,"Teveel uren?","")</f>
        <v/>
      </c>
      <c r="E47" s="98"/>
      <c r="F47" s="98"/>
      <c r="G47" s="127" t="str">
        <f>IF($N$10&gt;=4,"Totaal: ","")</f>
        <v/>
      </c>
      <c r="H47" s="128">
        <f>SUM(H43:H46)</f>
        <v>0</v>
      </c>
      <c r="I47" s="128">
        <f>SUM(I43:I46)</f>
        <v>0</v>
      </c>
      <c r="J47" s="129">
        <f>SUM(J43:J46)</f>
        <v>0</v>
      </c>
      <c r="K47" s="129">
        <f>SUM(K43:K46)</f>
        <v>0</v>
      </c>
      <c r="M47" s="94" t="s">
        <v>59</v>
      </c>
      <c r="N47" s="109">
        <f>IF(AND(H47+I47&gt;=N44,J47&gt;=N45,K47&gt;=N46),0,1)</f>
        <v>0</v>
      </c>
      <c r="O47" s="100"/>
      <c r="P47" s="100"/>
    </row>
    <row r="48" spans="2:16" x14ac:dyDescent="0.3">
      <c r="B48" s="98"/>
      <c r="C48" s="98"/>
      <c r="D48" s="98"/>
      <c r="E48" s="98"/>
      <c r="F48" s="98"/>
      <c r="G48" s="112"/>
      <c r="H48" s="98"/>
      <c r="I48" s="98"/>
      <c r="J48" s="98"/>
      <c r="K48" s="98"/>
      <c r="M48" s="94"/>
      <c r="N48" s="109"/>
      <c r="O48" s="100"/>
      <c r="P48" s="100"/>
    </row>
    <row r="49" spans="1:16" x14ac:dyDescent="0.3">
      <c r="A49" s="98"/>
      <c r="B49" s="98"/>
      <c r="C49" s="98"/>
      <c r="D49" s="98"/>
      <c r="E49" s="98"/>
      <c r="F49" s="98"/>
      <c r="G49" s="112"/>
      <c r="H49" s="98"/>
      <c r="I49" s="131" t="s">
        <v>60</v>
      </c>
      <c r="J49" s="131" t="s">
        <v>42</v>
      </c>
      <c r="K49" s="131" t="s">
        <v>43</v>
      </c>
      <c r="M49" s="94"/>
      <c r="N49" s="109"/>
      <c r="O49" s="100"/>
      <c r="P49" s="100"/>
    </row>
    <row r="50" spans="1:16" s="89" customFormat="1" x14ac:dyDescent="0.3">
      <c r="A50" s="98"/>
      <c r="B50" s="132"/>
      <c r="C50" s="132"/>
      <c r="D50" s="98"/>
      <c r="E50" s="98"/>
      <c r="F50" s="132"/>
      <c r="G50" s="98"/>
      <c r="H50" s="127" t="s">
        <v>61</v>
      </c>
      <c r="I50" s="133">
        <f>H47+H41+H35+H29+I47+I41+I35+I29</f>
        <v>1169.1666666666667</v>
      </c>
      <c r="J50" s="105">
        <f>J47+J41+J35+J29</f>
        <v>1060</v>
      </c>
      <c r="K50" s="133">
        <f>K47+K41+K35+K29</f>
        <v>2229.166666666667</v>
      </c>
      <c r="L50" s="72"/>
      <c r="M50" s="94" t="s">
        <v>62</v>
      </c>
      <c r="N50" s="134">
        <f>N47+N41+N35+N29</f>
        <v>0</v>
      </c>
      <c r="O50" s="69"/>
      <c r="P50" s="69"/>
    </row>
    <row r="51" spans="1:16" s="90" customFormat="1" ht="15" customHeight="1" x14ac:dyDescent="0.3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72"/>
      <c r="M51" s="94"/>
      <c r="N51" s="94"/>
      <c r="O51" s="135"/>
      <c r="P51" s="135"/>
    </row>
    <row r="52" spans="1:16" s="90" customFormat="1" hidden="1" x14ac:dyDescent="0.3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72"/>
      <c r="M52" s="94"/>
      <c r="N52" s="94"/>
      <c r="O52" s="135"/>
      <c r="P52" s="135"/>
    </row>
    <row r="53" spans="1:16" s="90" customFormat="1" hidden="1" x14ac:dyDescent="0.3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72"/>
      <c r="M53" s="94"/>
      <c r="N53" s="94"/>
      <c r="O53" s="135"/>
      <c r="P53" s="135"/>
    </row>
    <row r="54" spans="1:16" s="90" customFormat="1" hidden="1" x14ac:dyDescent="0.3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72"/>
      <c r="M54" s="94"/>
      <c r="N54" s="94"/>
      <c r="O54" s="135"/>
      <c r="P54" s="135"/>
    </row>
    <row r="55" spans="1:16" s="90" customFormat="1" hidden="1" x14ac:dyDescent="0.3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72"/>
      <c r="M55" s="94"/>
      <c r="N55" s="94"/>
      <c r="O55" s="135"/>
      <c r="P55" s="135"/>
    </row>
    <row r="56" spans="1:16" hidden="1" x14ac:dyDescent="0.3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M56" s="94"/>
      <c r="N56" s="99"/>
      <c r="O56" s="100"/>
      <c r="P56" s="100"/>
    </row>
    <row r="57" spans="1:16" hidden="1" x14ac:dyDescent="0.3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M57" s="94"/>
      <c r="N57" s="99"/>
      <c r="O57" s="100"/>
      <c r="P57" s="100"/>
    </row>
    <row r="58" spans="1:16" hidden="1" x14ac:dyDescent="0.3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M58" s="94"/>
      <c r="N58" s="99"/>
      <c r="O58" s="100"/>
      <c r="P58" s="100"/>
    </row>
    <row r="59" spans="1:16" hidden="1" x14ac:dyDescent="0.3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M59" s="94"/>
      <c r="N59" s="99"/>
      <c r="O59" s="100"/>
      <c r="P59" s="100"/>
    </row>
    <row r="60" spans="1:16" hidden="1" x14ac:dyDescent="0.3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M60" s="94"/>
      <c r="N60" s="99"/>
      <c r="O60" s="100"/>
      <c r="P60" s="100"/>
    </row>
    <row r="61" spans="1:16" hidden="1" x14ac:dyDescent="0.3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M61" s="94"/>
      <c r="N61" s="99"/>
      <c r="O61" s="100"/>
      <c r="P61" s="100"/>
    </row>
    <row r="62" spans="1:16" hidden="1" x14ac:dyDescent="0.3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M62" s="94"/>
      <c r="N62" s="99"/>
      <c r="O62" s="100"/>
      <c r="P62" s="100"/>
    </row>
    <row r="63" spans="1:16" hidden="1" x14ac:dyDescent="0.3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M63" s="94"/>
      <c r="N63" s="99"/>
      <c r="O63" s="100"/>
      <c r="P63" s="100"/>
    </row>
    <row r="64" spans="1:16" hidden="1" x14ac:dyDescent="0.3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M64" s="94"/>
      <c r="N64" s="99"/>
      <c r="O64" s="100"/>
      <c r="P64" s="100"/>
    </row>
    <row r="65" spans="1:16" hidden="1" x14ac:dyDescent="0.3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M65" s="94"/>
      <c r="N65" s="99"/>
      <c r="O65" s="100"/>
      <c r="P65" s="100"/>
    </row>
    <row r="66" spans="1:16" hidden="1" x14ac:dyDescent="0.3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M66" s="94"/>
      <c r="N66" s="99"/>
      <c r="O66" s="100"/>
      <c r="P66" s="100"/>
    </row>
    <row r="67" spans="1:16" hidden="1" x14ac:dyDescent="0.3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M67" s="94"/>
      <c r="N67" s="99"/>
      <c r="O67" s="100"/>
      <c r="P67" s="100"/>
    </row>
    <row r="68" spans="1:16" hidden="1" x14ac:dyDescent="0.3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M68" s="94"/>
      <c r="N68" s="99"/>
      <c r="O68" s="100"/>
      <c r="P68" s="100"/>
    </row>
    <row r="69" spans="1:16" hidden="1" x14ac:dyDescent="0.3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M69" s="94"/>
      <c r="N69" s="99"/>
      <c r="O69" s="100"/>
      <c r="P69" s="100"/>
    </row>
    <row r="70" spans="1:16" hidden="1" x14ac:dyDescent="0.3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M70" s="94"/>
      <c r="N70" s="99"/>
      <c r="O70" s="100"/>
      <c r="P70" s="100"/>
    </row>
    <row r="71" spans="1:16" hidden="1" x14ac:dyDescent="0.3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M71" s="94"/>
      <c r="N71" s="99"/>
      <c r="O71" s="100"/>
      <c r="P71" s="100"/>
    </row>
    <row r="72" spans="1:16" hidden="1" x14ac:dyDescent="0.3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  <c r="M72" s="94"/>
      <c r="N72" s="99"/>
      <c r="O72" s="100"/>
      <c r="P72" s="100"/>
    </row>
    <row r="73" spans="1:16" hidden="1" x14ac:dyDescent="0.3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  <c r="M73" s="94"/>
      <c r="N73" s="99"/>
      <c r="O73" s="100"/>
      <c r="P73" s="100"/>
    </row>
    <row r="74" spans="1:16" hidden="1" x14ac:dyDescent="0.3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98"/>
      <c r="M74" s="94"/>
      <c r="N74" s="99"/>
      <c r="O74" s="100"/>
      <c r="P74" s="100"/>
    </row>
    <row r="75" spans="1:16" hidden="1" x14ac:dyDescent="0.3">
      <c r="A75" s="98"/>
      <c r="B75" s="98"/>
      <c r="C75" s="98"/>
      <c r="D75" s="98"/>
      <c r="E75" s="98"/>
      <c r="F75" s="98"/>
      <c r="G75" s="98"/>
      <c r="H75" s="98"/>
      <c r="I75" s="98"/>
      <c r="J75" s="98"/>
      <c r="K75" s="98"/>
      <c r="M75" s="94"/>
      <c r="N75" s="99"/>
      <c r="O75" s="100"/>
      <c r="P75" s="100"/>
    </row>
    <row r="76" spans="1:16" hidden="1" x14ac:dyDescent="0.3">
      <c r="A76" s="98"/>
      <c r="B76" s="98"/>
      <c r="C76" s="98"/>
      <c r="D76" s="98"/>
      <c r="E76" s="98"/>
      <c r="F76" s="98"/>
      <c r="G76" s="98"/>
      <c r="H76" s="98"/>
      <c r="I76" s="98"/>
      <c r="J76" s="98"/>
      <c r="K76" s="98"/>
      <c r="M76" s="94"/>
      <c r="N76" s="99"/>
      <c r="O76" s="100"/>
      <c r="P76" s="100"/>
    </row>
    <row r="77" spans="1:16" hidden="1" x14ac:dyDescent="0.3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  <c r="M77" s="94"/>
      <c r="N77" s="99"/>
      <c r="O77" s="100"/>
      <c r="P77" s="100"/>
    </row>
    <row r="78" spans="1:16" hidden="1" x14ac:dyDescent="0.3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  <c r="M78" s="94"/>
      <c r="N78" s="99"/>
      <c r="O78" s="100"/>
      <c r="P78" s="100"/>
    </row>
    <row r="79" spans="1:16" hidden="1" x14ac:dyDescent="0.3">
      <c r="A79" s="98"/>
      <c r="B79" s="98"/>
      <c r="C79" s="98"/>
      <c r="D79" s="98"/>
      <c r="E79" s="98"/>
      <c r="F79" s="98"/>
      <c r="G79" s="98"/>
      <c r="H79" s="98"/>
      <c r="I79" s="98"/>
      <c r="J79" s="98"/>
      <c r="K79" s="98"/>
      <c r="M79" s="94"/>
      <c r="N79" s="99"/>
      <c r="O79" s="100"/>
      <c r="P79" s="100"/>
    </row>
    <row r="80" spans="1:16" hidden="1" x14ac:dyDescent="0.3">
      <c r="A80" s="98"/>
      <c r="B80" s="98"/>
      <c r="C80" s="98"/>
      <c r="D80" s="98"/>
      <c r="E80" s="98"/>
      <c r="F80" s="98"/>
      <c r="G80" s="98"/>
      <c r="H80" s="98"/>
      <c r="I80" s="98"/>
      <c r="J80" s="98"/>
      <c r="K80" s="98"/>
      <c r="M80" s="94"/>
      <c r="N80" s="99"/>
      <c r="O80" s="100"/>
      <c r="P80" s="100"/>
    </row>
    <row r="81" spans="1:16" hidden="1" x14ac:dyDescent="0.3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M81" s="94"/>
      <c r="N81" s="99"/>
      <c r="O81" s="100"/>
      <c r="P81" s="100"/>
    </row>
    <row r="82" spans="1:16" hidden="1" x14ac:dyDescent="0.3">
      <c r="A82" s="98"/>
      <c r="B82" s="98"/>
      <c r="C82" s="98"/>
      <c r="D82" s="98"/>
      <c r="E82" s="98"/>
      <c r="F82" s="98"/>
      <c r="G82" s="98"/>
      <c r="H82" s="98"/>
      <c r="I82" s="98"/>
      <c r="J82" s="98"/>
      <c r="K82" s="98"/>
      <c r="M82" s="94"/>
      <c r="N82" s="99"/>
      <c r="O82" s="100"/>
      <c r="P82" s="100"/>
    </row>
    <row r="83" spans="1:16" hidden="1" x14ac:dyDescent="0.3">
      <c r="A83" s="98"/>
      <c r="B83" s="98"/>
      <c r="C83" s="98"/>
      <c r="D83" s="98"/>
      <c r="E83" s="98"/>
      <c r="F83" s="98"/>
      <c r="G83" s="98"/>
      <c r="H83" s="98"/>
      <c r="I83" s="98"/>
      <c r="J83" s="98"/>
      <c r="K83" s="98"/>
      <c r="M83" s="94"/>
      <c r="N83" s="99"/>
      <c r="O83" s="100"/>
      <c r="P83" s="100"/>
    </row>
    <row r="84" spans="1:16" hidden="1" x14ac:dyDescent="0.3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  <c r="M84" s="94"/>
      <c r="N84" s="99"/>
      <c r="O84" s="100"/>
      <c r="P84" s="100"/>
    </row>
    <row r="85" spans="1:16" hidden="1" x14ac:dyDescent="0.3">
      <c r="A85" s="98"/>
      <c r="B85" s="98"/>
      <c r="C85" s="98"/>
      <c r="D85" s="98"/>
      <c r="E85" s="98"/>
      <c r="F85" s="98"/>
      <c r="G85" s="98"/>
      <c r="H85" s="98"/>
      <c r="I85" s="98"/>
      <c r="J85" s="98"/>
      <c r="K85" s="98"/>
      <c r="M85" s="94"/>
      <c r="N85" s="99"/>
      <c r="O85" s="100"/>
      <c r="P85" s="100"/>
    </row>
    <row r="86" spans="1:16" hidden="1" x14ac:dyDescent="0.3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  <c r="M86" s="94"/>
      <c r="N86" s="99"/>
      <c r="O86" s="100"/>
      <c r="P86" s="100"/>
    </row>
    <row r="87" spans="1:16" hidden="1" x14ac:dyDescent="0.3">
      <c r="A87" s="98"/>
      <c r="B87" s="98"/>
      <c r="C87" s="98"/>
      <c r="D87" s="98"/>
      <c r="E87" s="98"/>
      <c r="F87" s="98"/>
      <c r="G87" s="98"/>
      <c r="H87" s="98"/>
      <c r="I87" s="98"/>
      <c r="J87" s="98"/>
      <c r="K87" s="98"/>
      <c r="M87" s="94"/>
      <c r="N87" s="99"/>
      <c r="O87" s="100"/>
      <c r="P87" s="100"/>
    </row>
    <row r="88" spans="1:16" hidden="1" x14ac:dyDescent="0.3">
      <c r="A88" s="98"/>
      <c r="B88" s="98"/>
      <c r="C88" s="98"/>
      <c r="D88" s="98"/>
      <c r="E88" s="98"/>
      <c r="F88" s="98"/>
      <c r="G88" s="98"/>
      <c r="H88" s="98"/>
      <c r="I88" s="98"/>
      <c r="J88" s="98"/>
      <c r="K88" s="98"/>
      <c r="M88" s="94"/>
      <c r="N88" s="99"/>
      <c r="O88" s="100"/>
      <c r="P88" s="100"/>
    </row>
    <row r="89" spans="1:16" hidden="1" x14ac:dyDescent="0.3">
      <c r="A89" s="98"/>
      <c r="B89" s="98"/>
      <c r="C89" s="98"/>
      <c r="D89" s="98"/>
      <c r="E89" s="98"/>
      <c r="F89" s="98"/>
      <c r="G89" s="98"/>
      <c r="H89" s="98"/>
      <c r="I89" s="98"/>
      <c r="J89" s="98"/>
      <c r="K89" s="98"/>
      <c r="M89" s="94"/>
      <c r="N89" s="99"/>
      <c r="O89" s="100"/>
      <c r="P89" s="100"/>
    </row>
    <row r="90" spans="1:16" hidden="1" x14ac:dyDescent="0.3">
      <c r="A90" s="98"/>
      <c r="B90" s="98"/>
      <c r="C90" s="98"/>
      <c r="D90" s="98"/>
      <c r="E90" s="98"/>
      <c r="F90" s="98"/>
      <c r="G90" s="98"/>
      <c r="H90" s="98"/>
      <c r="I90" s="98"/>
      <c r="J90" s="98"/>
      <c r="K90" s="98"/>
      <c r="M90" s="94"/>
      <c r="N90" s="99"/>
      <c r="O90" s="100"/>
      <c r="P90" s="100"/>
    </row>
    <row r="91" spans="1:16" hidden="1" x14ac:dyDescent="0.3">
      <c r="A91" s="98"/>
      <c r="B91" s="98"/>
      <c r="C91" s="98"/>
      <c r="D91" s="98"/>
      <c r="E91" s="98"/>
      <c r="F91" s="98"/>
      <c r="G91" s="98"/>
      <c r="H91" s="98"/>
      <c r="I91" s="98"/>
      <c r="J91" s="98"/>
      <c r="K91" s="98"/>
      <c r="M91" s="94"/>
      <c r="N91" s="99"/>
      <c r="O91" s="100"/>
      <c r="P91" s="100"/>
    </row>
    <row r="92" spans="1:16" hidden="1" x14ac:dyDescent="0.3">
      <c r="A92" s="98"/>
      <c r="B92" s="98"/>
      <c r="C92" s="98"/>
      <c r="D92" s="98"/>
      <c r="E92" s="98"/>
      <c r="F92" s="98"/>
      <c r="G92" s="98"/>
      <c r="H92" s="98"/>
      <c r="I92" s="98"/>
      <c r="J92" s="98"/>
      <c r="K92" s="98"/>
      <c r="M92" s="94"/>
      <c r="N92" s="99"/>
      <c r="O92" s="100"/>
      <c r="P92" s="100"/>
    </row>
    <row r="93" spans="1:16" hidden="1" x14ac:dyDescent="0.3">
      <c r="A93" s="98"/>
      <c r="B93" s="98"/>
      <c r="C93" s="98"/>
      <c r="D93" s="98"/>
      <c r="E93" s="98"/>
      <c r="F93" s="98"/>
      <c r="G93" s="98"/>
      <c r="H93" s="98"/>
      <c r="I93" s="98"/>
      <c r="J93" s="98"/>
      <c r="K93" s="98"/>
      <c r="M93" s="94"/>
      <c r="N93" s="99"/>
      <c r="O93" s="100"/>
      <c r="P93" s="100"/>
    </row>
    <row r="94" spans="1:16" hidden="1" x14ac:dyDescent="0.3">
      <c r="A94" s="98"/>
      <c r="B94" s="98"/>
      <c r="C94" s="98"/>
      <c r="D94" s="98"/>
      <c r="E94" s="98"/>
      <c r="F94" s="98"/>
      <c r="G94" s="98"/>
      <c r="H94" s="98"/>
      <c r="I94" s="98"/>
      <c r="J94" s="98"/>
      <c r="K94" s="98"/>
      <c r="M94" s="94"/>
      <c r="N94" s="99"/>
      <c r="O94" s="100"/>
      <c r="P94" s="100"/>
    </row>
    <row r="95" spans="1:16" hidden="1" x14ac:dyDescent="0.3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98"/>
      <c r="M95" s="94"/>
      <c r="N95" s="99"/>
      <c r="O95" s="100"/>
      <c r="P95" s="100"/>
    </row>
    <row r="96" spans="1:16" hidden="1" x14ac:dyDescent="0.3">
      <c r="A96" s="98"/>
      <c r="B96" s="98"/>
      <c r="C96" s="98"/>
      <c r="D96" s="98"/>
      <c r="E96" s="98"/>
      <c r="F96" s="98"/>
      <c r="G96" s="98"/>
      <c r="H96" s="98"/>
      <c r="I96" s="98"/>
      <c r="J96" s="98"/>
      <c r="K96" s="98"/>
      <c r="M96" s="94"/>
      <c r="N96" s="99"/>
      <c r="O96" s="100"/>
      <c r="P96" s="100"/>
    </row>
    <row r="97" spans="1:16" hidden="1" x14ac:dyDescent="0.3">
      <c r="A97" s="98"/>
      <c r="B97" s="98"/>
      <c r="C97" s="98"/>
      <c r="D97" s="98"/>
      <c r="E97" s="98"/>
      <c r="F97" s="98"/>
      <c r="G97" s="98"/>
      <c r="H97" s="98"/>
      <c r="I97" s="98"/>
      <c r="J97" s="98"/>
      <c r="K97" s="98"/>
      <c r="M97" s="94"/>
      <c r="N97" s="99"/>
      <c r="O97" s="100"/>
      <c r="P97" s="100"/>
    </row>
    <row r="98" spans="1:16" hidden="1" x14ac:dyDescent="0.3">
      <c r="A98" s="98"/>
      <c r="B98" s="98"/>
      <c r="C98" s="98"/>
      <c r="D98" s="98"/>
      <c r="E98" s="98"/>
      <c r="F98" s="98"/>
      <c r="G98" s="98"/>
      <c r="H98" s="98"/>
      <c r="I98" s="98"/>
      <c r="J98" s="98"/>
      <c r="K98" s="98"/>
      <c r="M98" s="94"/>
      <c r="N98" s="99"/>
      <c r="O98" s="100"/>
      <c r="P98" s="100"/>
    </row>
    <row r="99" spans="1:16" hidden="1" x14ac:dyDescent="0.3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M99" s="94"/>
      <c r="N99" s="99"/>
      <c r="O99" s="100"/>
      <c r="P99" s="100"/>
    </row>
    <row r="100" spans="1:16" hidden="1" x14ac:dyDescent="0.3">
      <c r="A100" s="98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M100" s="94"/>
      <c r="N100" s="99"/>
      <c r="O100" s="100"/>
      <c r="P100" s="100"/>
    </row>
    <row r="101" spans="1:16" hidden="1" x14ac:dyDescent="0.3">
      <c r="A101" s="98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M101" s="94"/>
      <c r="N101" s="99"/>
      <c r="O101" s="100"/>
      <c r="P101" s="100"/>
    </row>
    <row r="102" spans="1:16" hidden="1" x14ac:dyDescent="0.3">
      <c r="A102" s="98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M102" s="94"/>
      <c r="N102" s="99"/>
      <c r="O102" s="100"/>
      <c r="P102" s="100"/>
    </row>
    <row r="103" spans="1:16" hidden="1" x14ac:dyDescent="0.3">
      <c r="A103" s="98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M103" s="94"/>
      <c r="N103" s="99"/>
      <c r="O103" s="100"/>
      <c r="P103" s="100"/>
    </row>
    <row r="104" spans="1:16" hidden="1" x14ac:dyDescent="0.3">
      <c r="A104" s="98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M104" s="94"/>
      <c r="N104" s="99"/>
      <c r="O104" s="100"/>
      <c r="P104" s="100"/>
    </row>
    <row r="105" spans="1:16" hidden="1" x14ac:dyDescent="0.3">
      <c r="A105" s="98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M105" s="94"/>
      <c r="N105" s="99"/>
      <c r="O105" s="100"/>
      <c r="P105" s="100"/>
    </row>
    <row r="106" spans="1:16" hidden="1" x14ac:dyDescent="0.3">
      <c r="A106" s="98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M106" s="94"/>
      <c r="N106" s="99"/>
      <c r="O106" s="100"/>
      <c r="P106" s="100"/>
    </row>
    <row r="107" spans="1:16" hidden="1" x14ac:dyDescent="0.3">
      <c r="A107" s="98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M107" s="94"/>
      <c r="N107" s="99"/>
      <c r="O107" s="100"/>
      <c r="P107" s="100"/>
    </row>
    <row r="108" spans="1:16" hidden="1" x14ac:dyDescent="0.3">
      <c r="A108" s="98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M108" s="94"/>
      <c r="N108" s="99"/>
      <c r="O108" s="100"/>
      <c r="P108" s="100"/>
    </row>
    <row r="109" spans="1:16" hidden="1" x14ac:dyDescent="0.3">
      <c r="A109" s="98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M109" s="94"/>
      <c r="N109" s="99"/>
      <c r="O109" s="100"/>
      <c r="P109" s="100"/>
    </row>
    <row r="110" spans="1:16" hidden="1" x14ac:dyDescent="0.3">
      <c r="A110" s="98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M110" s="94"/>
      <c r="N110" s="99"/>
      <c r="O110" s="100"/>
      <c r="P110" s="100"/>
    </row>
    <row r="111" spans="1:16" hidden="1" x14ac:dyDescent="0.3">
      <c r="A111" s="98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M111" s="94"/>
      <c r="N111" s="99"/>
      <c r="O111" s="100"/>
      <c r="P111" s="100"/>
    </row>
    <row r="112" spans="1:16" hidden="1" x14ac:dyDescent="0.3">
      <c r="A112" s="98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M112" s="94"/>
      <c r="N112" s="99"/>
      <c r="O112" s="100"/>
      <c r="P112" s="100"/>
    </row>
    <row r="113" spans="1:16" hidden="1" x14ac:dyDescent="0.3">
      <c r="A113" s="98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M113" s="94"/>
      <c r="N113" s="99"/>
      <c r="O113" s="100"/>
      <c r="P113" s="100"/>
    </row>
    <row r="114" spans="1:16" hidden="1" x14ac:dyDescent="0.3">
      <c r="A114" s="98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M114" s="94"/>
      <c r="N114" s="99"/>
      <c r="O114" s="100"/>
      <c r="P114" s="100"/>
    </row>
    <row r="115" spans="1:16" hidden="1" x14ac:dyDescent="0.3">
      <c r="A115" s="98"/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M115" s="94"/>
      <c r="N115" s="99"/>
      <c r="O115" s="100"/>
      <c r="P115" s="100"/>
    </row>
    <row r="116" spans="1:16" hidden="1" x14ac:dyDescent="0.3">
      <c r="A116" s="98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M116" s="94"/>
      <c r="N116" s="99"/>
      <c r="O116" s="100"/>
      <c r="P116" s="100"/>
    </row>
    <row r="117" spans="1:16" hidden="1" x14ac:dyDescent="0.3">
      <c r="A117" s="98"/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M117" s="94"/>
      <c r="N117" s="99"/>
      <c r="O117" s="100"/>
      <c r="P117" s="100"/>
    </row>
    <row r="118" spans="1:16" hidden="1" x14ac:dyDescent="0.3">
      <c r="A118" s="98"/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M118" s="94"/>
      <c r="N118" s="99"/>
      <c r="O118" s="100"/>
      <c r="P118" s="100"/>
    </row>
    <row r="119" spans="1:16" hidden="1" x14ac:dyDescent="0.3">
      <c r="A119" s="98"/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M119" s="94"/>
      <c r="N119" s="99"/>
      <c r="O119" s="100"/>
      <c r="P119" s="100"/>
    </row>
    <row r="120" spans="1:16" hidden="1" x14ac:dyDescent="0.3">
      <c r="A120" s="98"/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M120" s="94"/>
      <c r="N120" s="99"/>
      <c r="O120" s="100"/>
      <c r="P120" s="100"/>
    </row>
    <row r="121" spans="1:16" hidden="1" x14ac:dyDescent="0.3">
      <c r="A121" s="98"/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M121" s="94"/>
      <c r="N121" s="99"/>
      <c r="O121" s="100"/>
      <c r="P121" s="100"/>
    </row>
    <row r="122" spans="1:16" hidden="1" x14ac:dyDescent="0.3">
      <c r="A122" s="98"/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M122" s="94"/>
      <c r="N122" s="99"/>
      <c r="O122" s="100"/>
      <c r="P122" s="100"/>
    </row>
    <row r="123" spans="1:16" hidden="1" x14ac:dyDescent="0.3">
      <c r="A123" s="98"/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M123" s="94"/>
      <c r="N123" s="99"/>
      <c r="O123" s="100"/>
      <c r="P123" s="100"/>
    </row>
    <row r="124" spans="1:16" hidden="1" x14ac:dyDescent="0.3">
      <c r="A124" s="98"/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M124" s="94"/>
      <c r="N124" s="99"/>
      <c r="O124" s="100"/>
      <c r="P124" s="100"/>
    </row>
    <row r="125" spans="1:16" hidden="1" x14ac:dyDescent="0.3">
      <c r="A125" s="98"/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M125" s="94"/>
      <c r="N125" s="99"/>
      <c r="O125" s="100"/>
      <c r="P125" s="100"/>
    </row>
    <row r="126" spans="1:16" hidden="1" x14ac:dyDescent="0.3">
      <c r="A126" s="98"/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M126" s="94"/>
      <c r="N126" s="99"/>
      <c r="O126" s="100"/>
      <c r="P126" s="100"/>
    </row>
    <row r="127" spans="1:16" hidden="1" x14ac:dyDescent="0.3">
      <c r="A127" s="98"/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M127" s="94"/>
      <c r="N127" s="99"/>
      <c r="O127" s="100"/>
      <c r="P127" s="100"/>
    </row>
    <row r="128" spans="1:16" hidden="1" x14ac:dyDescent="0.3">
      <c r="A128" s="98"/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M128" s="94"/>
      <c r="N128" s="99"/>
      <c r="O128" s="100"/>
      <c r="P128" s="100"/>
    </row>
    <row r="129" spans="1:16" hidden="1" x14ac:dyDescent="0.3">
      <c r="A129" s="98"/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M129" s="94"/>
      <c r="N129" s="99"/>
      <c r="O129" s="100"/>
      <c r="P129" s="100"/>
    </row>
    <row r="130" spans="1:16" hidden="1" x14ac:dyDescent="0.3">
      <c r="A130" s="98"/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M130" s="94"/>
      <c r="N130" s="99"/>
      <c r="O130" s="100"/>
      <c r="P130" s="100"/>
    </row>
    <row r="131" spans="1:16" hidden="1" x14ac:dyDescent="0.3">
      <c r="A131" s="98"/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M131" s="94"/>
      <c r="N131" s="99"/>
      <c r="O131" s="100"/>
      <c r="P131" s="100"/>
    </row>
    <row r="132" spans="1:16" hidden="1" x14ac:dyDescent="0.3">
      <c r="A132" s="98"/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M132" s="94"/>
      <c r="N132" s="99"/>
      <c r="O132" s="100"/>
      <c r="P132" s="100"/>
    </row>
    <row r="133" spans="1:16" hidden="1" x14ac:dyDescent="0.3">
      <c r="A133" s="98"/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M133" s="94"/>
      <c r="N133" s="99"/>
      <c r="O133" s="100"/>
      <c r="P133" s="100"/>
    </row>
    <row r="134" spans="1:16" hidden="1" x14ac:dyDescent="0.3">
      <c r="A134" s="98"/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M134" s="94"/>
      <c r="N134" s="99"/>
      <c r="O134" s="100"/>
      <c r="P134" s="100"/>
    </row>
    <row r="135" spans="1:16" hidden="1" x14ac:dyDescent="0.3">
      <c r="A135" s="98"/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M135" s="94"/>
      <c r="N135" s="99"/>
      <c r="O135" s="100"/>
      <c r="P135" s="100"/>
    </row>
    <row r="136" spans="1:16" hidden="1" x14ac:dyDescent="0.3">
      <c r="A136" s="98"/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M136" s="94"/>
      <c r="N136" s="99"/>
      <c r="O136" s="100"/>
      <c r="P136" s="100"/>
    </row>
    <row r="137" spans="1:16" hidden="1" x14ac:dyDescent="0.3">
      <c r="A137" s="98"/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M137" s="94"/>
      <c r="N137" s="99"/>
      <c r="O137" s="100"/>
      <c r="P137" s="100"/>
    </row>
    <row r="138" spans="1:16" hidden="1" x14ac:dyDescent="0.3">
      <c r="A138" s="98"/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M138" s="94"/>
      <c r="N138" s="99"/>
      <c r="O138" s="100"/>
      <c r="P138" s="100"/>
    </row>
    <row r="139" spans="1:16" hidden="1" x14ac:dyDescent="0.3">
      <c r="A139" s="98"/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M139" s="94"/>
      <c r="N139" s="99"/>
      <c r="O139" s="100"/>
      <c r="P139" s="100"/>
    </row>
    <row r="140" spans="1:16" hidden="1" x14ac:dyDescent="0.3">
      <c r="A140" s="98"/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M140" s="94"/>
      <c r="N140" s="99"/>
      <c r="O140" s="100"/>
      <c r="P140" s="100"/>
    </row>
    <row r="141" spans="1:16" hidden="1" x14ac:dyDescent="0.3">
      <c r="A141" s="98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M141" s="94"/>
      <c r="N141" s="99"/>
      <c r="O141" s="100"/>
      <c r="P141" s="100"/>
    </row>
    <row r="142" spans="1:16" hidden="1" x14ac:dyDescent="0.3">
      <c r="A142" s="98"/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M142" s="94"/>
      <c r="N142" s="99"/>
      <c r="O142" s="100"/>
      <c r="P142" s="100"/>
    </row>
    <row r="143" spans="1:16" hidden="1" x14ac:dyDescent="0.3">
      <c r="A143" s="98"/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M143" s="94"/>
      <c r="N143" s="99"/>
      <c r="O143" s="100"/>
      <c r="P143" s="100"/>
    </row>
    <row r="144" spans="1:16" hidden="1" x14ac:dyDescent="0.3">
      <c r="A144" s="98"/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M144" s="94"/>
      <c r="N144" s="99"/>
      <c r="O144" s="100"/>
      <c r="P144" s="100"/>
    </row>
    <row r="145" spans="1:16" hidden="1" x14ac:dyDescent="0.3">
      <c r="A145" s="98"/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M145" s="94"/>
      <c r="N145" s="99"/>
      <c r="O145" s="100"/>
      <c r="P145" s="100"/>
    </row>
    <row r="146" spans="1:16" hidden="1" x14ac:dyDescent="0.3">
      <c r="A146" s="98"/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M146" s="94"/>
      <c r="N146" s="99"/>
      <c r="O146" s="100"/>
      <c r="P146" s="100"/>
    </row>
    <row r="147" spans="1:16" hidden="1" x14ac:dyDescent="0.3">
      <c r="A147" s="98"/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M147" s="94"/>
      <c r="N147" s="99"/>
      <c r="O147" s="100"/>
      <c r="P147" s="100"/>
    </row>
    <row r="148" spans="1:16" hidden="1" x14ac:dyDescent="0.3">
      <c r="A148" s="98"/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M148" s="94"/>
      <c r="N148" s="99"/>
      <c r="O148" s="100"/>
      <c r="P148" s="100"/>
    </row>
    <row r="149" spans="1:16" hidden="1" x14ac:dyDescent="0.3">
      <c r="A149" s="98"/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M149" s="94"/>
      <c r="N149" s="99"/>
      <c r="O149" s="100"/>
      <c r="P149" s="100"/>
    </row>
    <row r="150" spans="1:16" hidden="1" x14ac:dyDescent="0.3">
      <c r="A150" s="98"/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M150" s="94"/>
      <c r="N150" s="99"/>
      <c r="O150" s="100"/>
      <c r="P150" s="100"/>
    </row>
    <row r="151" spans="1:16" hidden="1" x14ac:dyDescent="0.3">
      <c r="A151" s="98"/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M151" s="94"/>
      <c r="N151" s="99"/>
      <c r="O151" s="100"/>
      <c r="P151" s="100"/>
    </row>
    <row r="152" spans="1:16" hidden="1" x14ac:dyDescent="0.3">
      <c r="A152" s="98"/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M152" s="94"/>
      <c r="N152" s="99"/>
      <c r="O152" s="100"/>
      <c r="P152" s="100"/>
    </row>
    <row r="153" spans="1:16" hidden="1" x14ac:dyDescent="0.3">
      <c r="A153" s="98"/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M153" s="94"/>
      <c r="N153" s="99"/>
      <c r="O153" s="100"/>
      <c r="P153" s="100"/>
    </row>
    <row r="154" spans="1:16" hidden="1" x14ac:dyDescent="0.3">
      <c r="A154" s="98"/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M154" s="94"/>
      <c r="N154" s="99"/>
      <c r="O154" s="100"/>
      <c r="P154" s="100"/>
    </row>
    <row r="155" spans="1:16" hidden="1" x14ac:dyDescent="0.3">
      <c r="A155" s="98"/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M155" s="94"/>
      <c r="N155" s="99"/>
      <c r="O155" s="100"/>
      <c r="P155" s="100"/>
    </row>
    <row r="156" spans="1:16" hidden="1" x14ac:dyDescent="0.3">
      <c r="A156" s="98"/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M156" s="94"/>
      <c r="N156" s="99"/>
      <c r="O156" s="100"/>
      <c r="P156" s="100"/>
    </row>
    <row r="157" spans="1:16" hidden="1" x14ac:dyDescent="0.3">
      <c r="A157" s="98"/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M157" s="94"/>
      <c r="N157" s="99"/>
      <c r="O157" s="100"/>
      <c r="P157" s="100"/>
    </row>
    <row r="158" spans="1:16" hidden="1" x14ac:dyDescent="0.3">
      <c r="A158" s="98"/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M158" s="94"/>
      <c r="N158" s="99"/>
      <c r="O158" s="100"/>
      <c r="P158" s="100"/>
    </row>
    <row r="159" spans="1:16" hidden="1" x14ac:dyDescent="0.3">
      <c r="A159" s="98"/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M159" s="94"/>
      <c r="N159" s="99"/>
      <c r="O159" s="100"/>
      <c r="P159" s="100"/>
    </row>
    <row r="160" spans="1:16" hidden="1" x14ac:dyDescent="0.3">
      <c r="A160" s="98"/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M160" s="94"/>
      <c r="N160" s="99"/>
      <c r="O160" s="100"/>
      <c r="P160" s="100"/>
    </row>
    <row r="161" spans="1:16" hidden="1" x14ac:dyDescent="0.3">
      <c r="A161" s="98"/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M161" s="94"/>
      <c r="N161" s="99"/>
      <c r="O161" s="100"/>
      <c r="P161" s="100"/>
    </row>
    <row r="162" spans="1:16" hidden="1" x14ac:dyDescent="0.3">
      <c r="A162" s="98"/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M162" s="94"/>
      <c r="N162" s="99"/>
      <c r="O162" s="100"/>
      <c r="P162" s="100"/>
    </row>
    <row r="163" spans="1:16" hidden="1" x14ac:dyDescent="0.3">
      <c r="A163" s="98"/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M163" s="94"/>
      <c r="N163" s="99"/>
      <c r="O163" s="100"/>
      <c r="P163" s="100"/>
    </row>
    <row r="164" spans="1:16" hidden="1" x14ac:dyDescent="0.3">
      <c r="A164" s="98"/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M164" s="94"/>
      <c r="N164" s="99"/>
      <c r="O164" s="100"/>
      <c r="P164" s="100"/>
    </row>
    <row r="165" spans="1:16" hidden="1" x14ac:dyDescent="0.3">
      <c r="A165" s="98"/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M165" s="94"/>
      <c r="N165" s="99"/>
      <c r="O165" s="100"/>
      <c r="P165" s="100"/>
    </row>
    <row r="166" spans="1:16" hidden="1" x14ac:dyDescent="0.3">
      <c r="A166" s="98"/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M166" s="94"/>
      <c r="N166" s="99"/>
      <c r="O166" s="100"/>
      <c r="P166" s="100"/>
    </row>
    <row r="167" spans="1:16" hidden="1" x14ac:dyDescent="0.3">
      <c r="A167" s="98"/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M167" s="94"/>
      <c r="N167" s="99"/>
      <c r="O167" s="100"/>
      <c r="P167" s="100"/>
    </row>
    <row r="168" spans="1:16" hidden="1" x14ac:dyDescent="0.3">
      <c r="A168" s="98"/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M168" s="94"/>
      <c r="N168" s="99"/>
      <c r="O168" s="100"/>
      <c r="P168" s="100"/>
    </row>
    <row r="169" spans="1:16" hidden="1" x14ac:dyDescent="0.3">
      <c r="A169" s="98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M169" s="94"/>
      <c r="N169" s="99"/>
      <c r="O169" s="100"/>
      <c r="P169" s="100"/>
    </row>
    <row r="170" spans="1:16" hidden="1" x14ac:dyDescent="0.3">
      <c r="A170" s="98"/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M170" s="94"/>
      <c r="N170" s="99"/>
      <c r="O170" s="100"/>
      <c r="P170" s="100"/>
    </row>
    <row r="171" spans="1:16" hidden="1" x14ac:dyDescent="0.3">
      <c r="A171" s="98"/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M171" s="94"/>
      <c r="N171" s="99"/>
      <c r="O171" s="100"/>
      <c r="P171" s="100"/>
    </row>
    <row r="172" spans="1:16" hidden="1" x14ac:dyDescent="0.3">
      <c r="A172" s="98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M172" s="94"/>
      <c r="N172" s="99"/>
      <c r="O172" s="100"/>
      <c r="P172" s="100"/>
    </row>
    <row r="173" spans="1:16" hidden="1" x14ac:dyDescent="0.3">
      <c r="A173" s="98"/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M173" s="94"/>
      <c r="N173" s="99"/>
      <c r="O173" s="100"/>
      <c r="P173" s="100"/>
    </row>
    <row r="174" spans="1:16" hidden="1" x14ac:dyDescent="0.3">
      <c r="A174" s="98"/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M174" s="94"/>
      <c r="N174" s="99"/>
      <c r="O174" s="100"/>
      <c r="P174" s="100"/>
    </row>
    <row r="175" spans="1:16" hidden="1" x14ac:dyDescent="0.3">
      <c r="A175" s="98"/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M175" s="94"/>
      <c r="N175" s="99"/>
      <c r="O175" s="100"/>
      <c r="P175" s="100"/>
    </row>
    <row r="176" spans="1:16" hidden="1" x14ac:dyDescent="0.3">
      <c r="A176" s="98"/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M176" s="94"/>
      <c r="N176" s="99"/>
      <c r="O176" s="100"/>
      <c r="P176" s="100"/>
    </row>
    <row r="177" spans="1:16" hidden="1" x14ac:dyDescent="0.3">
      <c r="A177" s="98"/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M177" s="94"/>
      <c r="N177" s="99"/>
      <c r="O177" s="100"/>
      <c r="P177" s="100"/>
    </row>
    <row r="178" spans="1:16" hidden="1" x14ac:dyDescent="0.3">
      <c r="A178" s="98"/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M178" s="94"/>
      <c r="N178" s="99"/>
      <c r="O178" s="100"/>
      <c r="P178" s="100"/>
    </row>
    <row r="179" spans="1:16" hidden="1" x14ac:dyDescent="0.3">
      <c r="A179" s="98"/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M179" s="94"/>
      <c r="N179" s="99"/>
      <c r="O179" s="100"/>
      <c r="P179" s="100"/>
    </row>
    <row r="180" spans="1:16" hidden="1" x14ac:dyDescent="0.3">
      <c r="A180" s="98"/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M180" s="94"/>
      <c r="N180" s="99"/>
      <c r="O180" s="100"/>
      <c r="P180" s="100"/>
    </row>
    <row r="181" spans="1:16" hidden="1" x14ac:dyDescent="0.3">
      <c r="A181" s="98"/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M181" s="94"/>
      <c r="N181" s="99"/>
      <c r="O181" s="100"/>
      <c r="P181" s="100"/>
    </row>
    <row r="182" spans="1:16" hidden="1" x14ac:dyDescent="0.3">
      <c r="A182" s="98"/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M182" s="94"/>
      <c r="N182" s="99"/>
      <c r="O182" s="100"/>
      <c r="P182" s="100"/>
    </row>
    <row r="183" spans="1:16" hidden="1" x14ac:dyDescent="0.3">
      <c r="A183" s="98"/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M183" s="94"/>
      <c r="N183" s="99"/>
      <c r="O183" s="100"/>
      <c r="P183" s="100"/>
    </row>
    <row r="184" spans="1:16" hidden="1" x14ac:dyDescent="0.3">
      <c r="A184" s="98"/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M184" s="94"/>
      <c r="N184" s="99"/>
      <c r="O184" s="100"/>
      <c r="P184" s="100"/>
    </row>
    <row r="185" spans="1:16" hidden="1" x14ac:dyDescent="0.3">
      <c r="A185" s="98"/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M185" s="94"/>
      <c r="N185" s="99"/>
      <c r="O185" s="100"/>
      <c r="P185" s="100"/>
    </row>
    <row r="186" spans="1:16" hidden="1" x14ac:dyDescent="0.3">
      <c r="A186" s="98"/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M186" s="94"/>
      <c r="N186" s="99"/>
      <c r="O186" s="100"/>
      <c r="P186" s="100"/>
    </row>
    <row r="187" spans="1:16" hidden="1" x14ac:dyDescent="0.3">
      <c r="A187" s="98"/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M187" s="94"/>
      <c r="N187" s="99"/>
      <c r="O187" s="100"/>
      <c r="P187" s="100"/>
    </row>
    <row r="188" spans="1:16" hidden="1" x14ac:dyDescent="0.3">
      <c r="A188" s="98"/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M188" s="94"/>
      <c r="N188" s="99"/>
      <c r="O188" s="100"/>
      <c r="P188" s="100"/>
    </row>
    <row r="189" spans="1:16" hidden="1" x14ac:dyDescent="0.3">
      <c r="A189" s="98"/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M189" s="94"/>
      <c r="N189" s="99"/>
      <c r="O189" s="100"/>
      <c r="P189" s="100"/>
    </row>
    <row r="190" spans="1:16" hidden="1" x14ac:dyDescent="0.3">
      <c r="A190" s="98"/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M190" s="94"/>
      <c r="N190" s="99"/>
      <c r="O190" s="100"/>
      <c r="P190" s="100"/>
    </row>
    <row r="191" spans="1:16" hidden="1" x14ac:dyDescent="0.3">
      <c r="A191" s="98"/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M191" s="94"/>
      <c r="N191" s="99"/>
      <c r="O191" s="100"/>
      <c r="P191" s="100"/>
    </row>
    <row r="192" spans="1:16" hidden="1" x14ac:dyDescent="0.3">
      <c r="A192" s="98"/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M192" s="94"/>
      <c r="N192" s="99"/>
      <c r="O192" s="100"/>
      <c r="P192" s="100"/>
    </row>
    <row r="193" spans="1:16" hidden="1" x14ac:dyDescent="0.3">
      <c r="A193" s="98"/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M193" s="94"/>
      <c r="N193" s="99"/>
      <c r="O193" s="100"/>
      <c r="P193" s="100"/>
    </row>
    <row r="194" spans="1:16" hidden="1" x14ac:dyDescent="0.3">
      <c r="A194" s="98"/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M194" s="94"/>
      <c r="N194" s="99"/>
      <c r="O194" s="100"/>
      <c r="P194" s="100"/>
    </row>
    <row r="195" spans="1:16" hidden="1" x14ac:dyDescent="0.3">
      <c r="A195" s="98"/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M195" s="94"/>
      <c r="N195" s="99"/>
      <c r="O195" s="100"/>
      <c r="P195" s="100"/>
    </row>
    <row r="196" spans="1:16" hidden="1" x14ac:dyDescent="0.3">
      <c r="A196" s="98"/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M196" s="94"/>
      <c r="N196" s="99"/>
      <c r="O196" s="100"/>
      <c r="P196" s="100"/>
    </row>
    <row r="197" spans="1:16" hidden="1" x14ac:dyDescent="0.3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M197" s="94"/>
      <c r="N197" s="99"/>
      <c r="O197" s="100"/>
      <c r="P197" s="100"/>
    </row>
    <row r="198" spans="1:16" hidden="1" x14ac:dyDescent="0.3">
      <c r="A198" s="98"/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M198" s="94"/>
      <c r="N198" s="99"/>
      <c r="O198" s="100"/>
      <c r="P198" s="100"/>
    </row>
    <row r="199" spans="1:16" hidden="1" x14ac:dyDescent="0.3">
      <c r="A199" s="98"/>
      <c r="B199" s="98"/>
      <c r="C199" s="98"/>
      <c r="D199" s="98"/>
      <c r="E199" s="98"/>
      <c r="F199" s="98"/>
      <c r="G199" s="112"/>
      <c r="H199" s="98"/>
      <c r="I199" s="98"/>
      <c r="J199" s="98"/>
      <c r="K199" s="98"/>
      <c r="M199" s="94"/>
      <c r="N199" s="99"/>
      <c r="O199" s="100"/>
      <c r="P199" s="100"/>
    </row>
    <row r="200" spans="1:16" hidden="1" x14ac:dyDescent="0.3">
      <c r="A200" s="98"/>
      <c r="B200" s="98"/>
      <c r="C200" s="98"/>
      <c r="D200" s="98"/>
      <c r="E200" s="98"/>
      <c r="F200" s="98"/>
      <c r="G200" s="112"/>
      <c r="H200" s="98"/>
      <c r="I200" s="98"/>
      <c r="J200" s="98"/>
      <c r="K200" s="98"/>
      <c r="M200" s="94"/>
      <c r="N200" s="99"/>
      <c r="O200" s="100"/>
      <c r="P200" s="100"/>
    </row>
    <row r="201" spans="1:16" hidden="1" x14ac:dyDescent="0.3">
      <c r="A201" s="98"/>
      <c r="B201" s="98"/>
      <c r="C201" s="98"/>
      <c r="D201" s="98"/>
      <c r="E201" s="98"/>
      <c r="F201" s="98"/>
      <c r="G201" s="112"/>
      <c r="H201" s="98"/>
      <c r="I201" s="98"/>
      <c r="J201" s="98"/>
      <c r="K201" s="98"/>
      <c r="M201" s="94"/>
      <c r="N201" s="99"/>
      <c r="O201" s="100"/>
      <c r="P201" s="100"/>
    </row>
    <row r="202" spans="1:16" hidden="1" x14ac:dyDescent="0.3">
      <c r="A202" s="98"/>
      <c r="B202" s="98"/>
      <c r="C202" s="98"/>
      <c r="D202" s="98"/>
      <c r="E202" s="98"/>
      <c r="F202" s="98"/>
      <c r="G202" s="112"/>
      <c r="H202" s="98"/>
      <c r="I202" s="98"/>
      <c r="J202" s="98"/>
      <c r="K202" s="98"/>
      <c r="M202" s="94"/>
      <c r="N202" s="99"/>
      <c r="O202" s="100"/>
      <c r="P202" s="100"/>
    </row>
    <row r="203" spans="1:16" hidden="1" x14ac:dyDescent="0.3">
      <c r="A203" s="98"/>
      <c r="B203" s="98"/>
      <c r="C203" s="98"/>
      <c r="D203" s="98"/>
      <c r="E203" s="98"/>
      <c r="F203" s="98"/>
      <c r="G203" s="112"/>
      <c r="H203" s="98"/>
      <c r="I203" s="98"/>
      <c r="J203" s="98"/>
      <c r="K203" s="98"/>
      <c r="M203" s="94"/>
      <c r="N203" s="99"/>
      <c r="O203" s="100"/>
      <c r="P203" s="100"/>
    </row>
    <row r="204" spans="1:16" hidden="1" x14ac:dyDescent="0.3">
      <c r="A204" s="98"/>
      <c r="B204" s="98"/>
      <c r="C204" s="98"/>
      <c r="D204" s="98"/>
      <c r="E204" s="98"/>
      <c r="F204" s="98"/>
      <c r="G204" s="112"/>
      <c r="H204" s="98"/>
      <c r="I204" s="98"/>
      <c r="J204" s="98"/>
      <c r="K204" s="98"/>
      <c r="M204" s="94"/>
      <c r="N204" s="99"/>
      <c r="O204" s="100"/>
      <c r="P204" s="100"/>
    </row>
    <row r="205" spans="1:16" hidden="1" x14ac:dyDescent="0.3">
      <c r="A205" s="98"/>
      <c r="B205" s="98"/>
      <c r="C205" s="98"/>
      <c r="D205" s="98"/>
      <c r="E205" s="98"/>
      <c r="F205" s="98"/>
      <c r="G205" s="112"/>
      <c r="H205" s="98"/>
      <c r="I205" s="98"/>
      <c r="J205" s="98"/>
      <c r="K205" s="98"/>
      <c r="M205" s="94"/>
      <c r="N205" s="99"/>
      <c r="O205" s="100"/>
      <c r="P205" s="100"/>
    </row>
    <row r="206" spans="1:16" hidden="1" x14ac:dyDescent="0.3">
      <c r="A206" s="98"/>
      <c r="B206" s="98"/>
      <c r="C206" s="98"/>
      <c r="D206" s="98"/>
      <c r="E206" s="98"/>
      <c r="F206" s="98"/>
      <c r="G206" s="112"/>
      <c r="H206" s="98"/>
      <c r="I206" s="98"/>
      <c r="J206" s="98"/>
      <c r="K206" s="98"/>
      <c r="M206" s="94"/>
      <c r="N206" s="99"/>
      <c r="O206" s="100"/>
      <c r="P206" s="100"/>
    </row>
    <row r="207" spans="1:16" hidden="1" x14ac:dyDescent="0.3">
      <c r="A207" s="98"/>
      <c r="B207" s="98"/>
      <c r="C207" s="98"/>
      <c r="D207" s="98"/>
      <c r="E207" s="98"/>
      <c r="F207" s="98"/>
      <c r="G207" s="112"/>
      <c r="H207" s="98"/>
      <c r="I207" s="98"/>
      <c r="J207" s="98"/>
      <c r="K207" s="98"/>
      <c r="M207" s="94"/>
      <c r="N207" s="99"/>
      <c r="O207" s="100"/>
      <c r="P207" s="100"/>
    </row>
    <row r="208" spans="1:16" hidden="1" x14ac:dyDescent="0.3">
      <c r="A208" s="98"/>
      <c r="B208" s="98"/>
      <c r="C208" s="98"/>
      <c r="D208" s="98"/>
      <c r="E208" s="98"/>
      <c r="F208" s="98"/>
      <c r="G208" s="112"/>
      <c r="H208" s="98"/>
      <c r="I208" s="98"/>
      <c r="J208" s="98"/>
      <c r="K208" s="98"/>
      <c r="M208" s="94"/>
      <c r="N208" s="99"/>
      <c r="O208" s="100"/>
      <c r="P208" s="100"/>
    </row>
    <row r="209" spans="1:16" hidden="1" x14ac:dyDescent="0.3">
      <c r="A209" s="98"/>
      <c r="B209" s="98"/>
      <c r="C209" s="98"/>
      <c r="D209" s="98"/>
      <c r="E209" s="98"/>
      <c r="F209" s="98"/>
      <c r="G209" s="112"/>
      <c r="H209" s="98"/>
      <c r="I209" s="98"/>
      <c r="J209" s="98"/>
      <c r="K209" s="98"/>
      <c r="M209" s="94"/>
      <c r="N209" s="99"/>
      <c r="O209" s="100"/>
      <c r="P209" s="100"/>
    </row>
    <row r="210" spans="1:16" hidden="1" x14ac:dyDescent="0.3">
      <c r="A210" s="98"/>
      <c r="B210" s="98"/>
      <c r="C210" s="98"/>
      <c r="D210" s="98"/>
      <c r="E210" s="98"/>
      <c r="F210" s="98"/>
      <c r="G210" s="112"/>
      <c r="H210" s="98"/>
      <c r="I210" s="98"/>
      <c r="J210" s="98"/>
      <c r="K210" s="98"/>
      <c r="M210" s="94"/>
      <c r="N210" s="99"/>
      <c r="O210" s="100"/>
      <c r="P210" s="100"/>
    </row>
    <row r="211" spans="1:16" hidden="1" x14ac:dyDescent="0.3">
      <c r="A211" s="98"/>
      <c r="B211" s="98"/>
      <c r="C211" s="98"/>
      <c r="D211" s="98"/>
      <c r="E211" s="98"/>
      <c r="F211" s="98"/>
      <c r="G211" s="112"/>
      <c r="H211" s="98"/>
      <c r="I211" s="98"/>
      <c r="J211" s="98"/>
      <c r="K211" s="98"/>
      <c r="M211" s="94"/>
      <c r="N211" s="99"/>
      <c r="O211" s="100"/>
      <c r="P211" s="100"/>
    </row>
    <row r="212" spans="1:16" hidden="1" x14ac:dyDescent="0.3">
      <c r="A212" s="98"/>
      <c r="B212" s="98"/>
      <c r="C212" s="98"/>
      <c r="D212" s="98"/>
      <c r="E212" s="98"/>
      <c r="F212" s="98"/>
      <c r="G212" s="112"/>
      <c r="H212" s="98"/>
      <c r="I212" s="98"/>
      <c r="J212" s="98"/>
      <c r="K212" s="98"/>
      <c r="M212" s="94"/>
      <c r="N212" s="99"/>
      <c r="O212" s="100"/>
      <c r="P212" s="100"/>
    </row>
    <row r="213" spans="1:16" hidden="1" x14ac:dyDescent="0.3">
      <c r="A213" s="98"/>
      <c r="B213" s="98"/>
      <c r="C213" s="98"/>
      <c r="D213" s="98"/>
      <c r="E213" s="98"/>
      <c r="F213" s="98"/>
      <c r="G213" s="112"/>
      <c r="H213" s="98"/>
      <c r="I213" s="98"/>
      <c r="J213" s="98"/>
      <c r="K213" s="98"/>
      <c r="M213" s="94"/>
      <c r="N213" s="99"/>
      <c r="O213" s="100"/>
      <c r="P213" s="100"/>
    </row>
    <row r="214" spans="1:16" hidden="1" x14ac:dyDescent="0.3">
      <c r="A214" s="98"/>
      <c r="B214" s="98"/>
      <c r="C214" s="98"/>
      <c r="D214" s="98"/>
      <c r="E214" s="98"/>
      <c r="F214" s="98"/>
      <c r="G214" s="112"/>
      <c r="H214" s="98"/>
      <c r="I214" s="98"/>
      <c r="J214" s="98"/>
      <c r="K214" s="98"/>
      <c r="M214" s="94"/>
      <c r="N214" s="99"/>
      <c r="O214" s="100"/>
      <c r="P214" s="100"/>
    </row>
    <row r="215" spans="1:16" hidden="1" x14ac:dyDescent="0.3">
      <c r="A215" s="98"/>
      <c r="B215" s="98"/>
      <c r="C215" s="98"/>
      <c r="D215" s="98"/>
      <c r="E215" s="98"/>
      <c r="F215" s="98"/>
      <c r="G215" s="112"/>
      <c r="H215" s="98"/>
      <c r="I215" s="98"/>
      <c r="J215" s="98"/>
      <c r="K215" s="98"/>
      <c r="M215" s="94"/>
      <c r="N215" s="99"/>
      <c r="O215" s="100"/>
      <c r="P215" s="100"/>
    </row>
    <row r="216" spans="1:16" hidden="1" x14ac:dyDescent="0.3">
      <c r="A216" s="98"/>
      <c r="B216" s="98"/>
      <c r="C216" s="98"/>
      <c r="D216" s="98"/>
      <c r="E216" s="98"/>
      <c r="F216" s="98"/>
      <c r="G216" s="112"/>
      <c r="H216" s="98"/>
      <c r="I216" s="98"/>
      <c r="J216" s="98"/>
      <c r="K216" s="98"/>
      <c r="M216" s="94"/>
      <c r="N216" s="99"/>
      <c r="O216" s="100"/>
      <c r="P216" s="100"/>
    </row>
    <row r="217" spans="1:16" hidden="1" x14ac:dyDescent="0.3">
      <c r="A217" s="98"/>
      <c r="B217" s="98"/>
      <c r="C217" s="98"/>
      <c r="D217" s="98"/>
      <c r="E217" s="98"/>
      <c r="F217" s="98"/>
      <c r="G217" s="112"/>
      <c r="H217" s="98"/>
      <c r="I217" s="98"/>
      <c r="J217" s="98"/>
      <c r="K217" s="98"/>
      <c r="M217" s="94"/>
      <c r="N217" s="99"/>
      <c r="O217" s="100"/>
      <c r="P217" s="100"/>
    </row>
    <row r="218" spans="1:16" hidden="1" x14ac:dyDescent="0.3">
      <c r="A218" s="98"/>
      <c r="B218" s="98"/>
      <c r="C218" s="98"/>
      <c r="D218" s="98"/>
      <c r="E218" s="98"/>
      <c r="F218" s="98"/>
      <c r="G218" s="112"/>
      <c r="H218" s="98"/>
      <c r="I218" s="98"/>
      <c r="J218" s="98"/>
      <c r="K218" s="98"/>
      <c r="M218" s="94"/>
      <c r="N218" s="99"/>
      <c r="O218" s="100"/>
      <c r="P218" s="100"/>
    </row>
    <row r="219" spans="1:16" hidden="1" x14ac:dyDescent="0.3">
      <c r="A219" s="98"/>
      <c r="B219" s="98"/>
      <c r="C219" s="98"/>
      <c r="D219" s="98"/>
      <c r="E219" s="98"/>
      <c r="F219" s="98"/>
      <c r="G219" s="112"/>
      <c r="H219" s="98"/>
      <c r="I219" s="98"/>
      <c r="J219" s="98"/>
      <c r="K219" s="98"/>
      <c r="M219" s="94"/>
      <c r="N219" s="99"/>
      <c r="O219" s="100"/>
      <c r="P219" s="100"/>
    </row>
    <row r="220" spans="1:16" hidden="1" x14ac:dyDescent="0.3">
      <c r="A220" s="98"/>
      <c r="B220" s="98"/>
      <c r="C220" s="98"/>
      <c r="D220" s="98"/>
      <c r="E220" s="98"/>
      <c r="F220" s="98"/>
      <c r="G220" s="112"/>
      <c r="H220" s="98"/>
      <c r="I220" s="98"/>
      <c r="J220" s="98"/>
      <c r="K220" s="98"/>
      <c r="M220" s="94"/>
      <c r="N220" s="99"/>
      <c r="O220" s="100"/>
      <c r="P220" s="100"/>
    </row>
    <row r="221" spans="1:16" hidden="1" x14ac:dyDescent="0.3">
      <c r="A221" s="98"/>
      <c r="B221" s="98"/>
      <c r="C221" s="98"/>
      <c r="D221" s="98"/>
      <c r="E221" s="98"/>
      <c r="F221" s="98"/>
      <c r="G221" s="112"/>
      <c r="H221" s="98"/>
      <c r="I221" s="98"/>
      <c r="J221" s="98"/>
      <c r="K221" s="98"/>
      <c r="M221" s="94"/>
      <c r="N221" s="99"/>
      <c r="O221" s="100"/>
      <c r="P221" s="100"/>
    </row>
    <row r="222" spans="1:16" hidden="1" x14ac:dyDescent="0.3">
      <c r="A222" s="98"/>
      <c r="B222" s="98"/>
      <c r="C222" s="98"/>
      <c r="D222" s="98"/>
      <c r="E222" s="98"/>
      <c r="F222" s="98"/>
      <c r="G222" s="112"/>
      <c r="H222" s="98"/>
      <c r="I222" s="98"/>
      <c r="J222" s="98"/>
      <c r="K222" s="98"/>
      <c r="M222" s="94"/>
      <c r="N222" s="99"/>
      <c r="O222" s="100"/>
      <c r="P222" s="100"/>
    </row>
    <row r="223" spans="1:16" hidden="1" x14ac:dyDescent="0.3">
      <c r="A223" s="98"/>
      <c r="B223" s="98"/>
      <c r="C223" s="98"/>
      <c r="D223" s="98"/>
      <c r="E223" s="98"/>
      <c r="F223" s="98"/>
      <c r="G223" s="112"/>
      <c r="H223" s="98"/>
      <c r="I223" s="98"/>
      <c r="J223" s="98"/>
      <c r="K223" s="98"/>
      <c r="M223" s="94"/>
      <c r="N223" s="99"/>
      <c r="O223" s="100"/>
      <c r="P223" s="100"/>
    </row>
    <row r="224" spans="1:16" hidden="1" x14ac:dyDescent="0.3">
      <c r="A224" s="98"/>
      <c r="B224" s="98"/>
      <c r="C224" s="98"/>
      <c r="D224" s="98"/>
      <c r="E224" s="98"/>
      <c r="F224" s="98"/>
      <c r="G224" s="112"/>
      <c r="H224" s="98"/>
      <c r="I224" s="98"/>
      <c r="J224" s="98"/>
      <c r="K224" s="98"/>
      <c r="M224" s="94"/>
      <c r="N224" s="99"/>
      <c r="O224" s="100"/>
      <c r="P224" s="100"/>
    </row>
    <row r="225" spans="1:16" hidden="1" x14ac:dyDescent="0.3">
      <c r="A225" s="98"/>
      <c r="B225" s="98"/>
      <c r="C225" s="98"/>
      <c r="D225" s="98"/>
      <c r="E225" s="98"/>
      <c r="F225" s="98"/>
      <c r="G225" s="112"/>
      <c r="H225" s="98"/>
      <c r="I225" s="98"/>
      <c r="J225" s="98"/>
      <c r="K225" s="98"/>
      <c r="M225" s="94"/>
      <c r="N225" s="99"/>
      <c r="O225" s="100"/>
      <c r="P225" s="100"/>
    </row>
    <row r="226" spans="1:16" hidden="1" x14ac:dyDescent="0.3">
      <c r="A226" s="98"/>
      <c r="B226" s="98"/>
      <c r="C226" s="98"/>
      <c r="D226" s="98"/>
      <c r="E226" s="98"/>
      <c r="F226" s="98"/>
      <c r="G226" s="112"/>
      <c r="H226" s="98"/>
      <c r="I226" s="98"/>
      <c r="J226" s="98"/>
      <c r="K226" s="98"/>
      <c r="M226" s="94"/>
      <c r="N226" s="99"/>
      <c r="O226" s="100"/>
      <c r="P226" s="100"/>
    </row>
    <row r="227" spans="1:16" hidden="1" x14ac:dyDescent="0.3">
      <c r="A227" s="98"/>
      <c r="B227" s="98"/>
      <c r="C227" s="98"/>
      <c r="D227" s="98"/>
      <c r="E227" s="98"/>
      <c r="F227" s="98"/>
      <c r="G227" s="112"/>
      <c r="H227" s="98"/>
      <c r="I227" s="98"/>
      <c r="J227" s="98"/>
      <c r="K227" s="98"/>
      <c r="M227" s="94"/>
      <c r="N227" s="99"/>
      <c r="O227" s="100"/>
      <c r="P227" s="100"/>
    </row>
    <row r="228" spans="1:16" hidden="1" x14ac:dyDescent="0.3">
      <c r="A228" s="98"/>
      <c r="B228" s="98"/>
      <c r="C228" s="98"/>
      <c r="D228" s="98"/>
      <c r="E228" s="98"/>
      <c r="F228" s="98"/>
      <c r="G228" s="112"/>
      <c r="H228" s="98"/>
      <c r="I228" s="98"/>
      <c r="J228" s="98"/>
      <c r="K228" s="98"/>
      <c r="M228" s="94"/>
      <c r="N228" s="99"/>
      <c r="O228" s="100"/>
      <c r="P228" s="100"/>
    </row>
    <row r="229" spans="1:16" hidden="1" x14ac:dyDescent="0.3">
      <c r="A229" s="98"/>
      <c r="B229" s="98"/>
      <c r="C229" s="98"/>
      <c r="D229" s="98"/>
      <c r="E229" s="98"/>
      <c r="F229" s="98"/>
      <c r="G229" s="112"/>
      <c r="H229" s="98"/>
      <c r="I229" s="98"/>
      <c r="J229" s="98"/>
      <c r="K229" s="98"/>
      <c r="M229" s="94"/>
      <c r="N229" s="99"/>
      <c r="O229" s="100"/>
      <c r="P229" s="100"/>
    </row>
    <row r="230" spans="1:16" hidden="1" x14ac:dyDescent="0.3">
      <c r="A230" s="98"/>
      <c r="B230" s="98"/>
      <c r="C230" s="98"/>
      <c r="D230" s="98"/>
      <c r="E230" s="98"/>
      <c r="F230" s="98"/>
      <c r="G230" s="112"/>
      <c r="H230" s="98"/>
      <c r="I230" s="98"/>
      <c r="J230" s="98"/>
      <c r="K230" s="98"/>
      <c r="M230" s="94"/>
      <c r="N230" s="99"/>
      <c r="O230" s="100"/>
      <c r="P230" s="100"/>
    </row>
    <row r="231" spans="1:16" hidden="1" x14ac:dyDescent="0.3">
      <c r="A231" s="98"/>
      <c r="B231" s="98"/>
      <c r="C231" s="98"/>
      <c r="D231" s="98"/>
      <c r="E231" s="98"/>
      <c r="F231" s="98"/>
      <c r="G231" s="112"/>
      <c r="H231" s="98"/>
      <c r="I231" s="98"/>
      <c r="J231" s="98"/>
      <c r="K231" s="98"/>
      <c r="M231" s="94"/>
      <c r="N231" s="99"/>
      <c r="O231" s="100"/>
      <c r="P231" s="100"/>
    </row>
    <row r="232" spans="1:16" hidden="1" x14ac:dyDescent="0.3">
      <c r="A232" s="98"/>
      <c r="B232" s="98"/>
      <c r="C232" s="98"/>
      <c r="D232" s="98"/>
      <c r="E232" s="98"/>
      <c r="F232" s="98"/>
      <c r="G232" s="112"/>
      <c r="H232" s="98"/>
      <c r="I232" s="98"/>
      <c r="J232" s="98"/>
      <c r="K232" s="98"/>
      <c r="M232" s="94"/>
      <c r="N232" s="99"/>
      <c r="O232" s="100"/>
      <c r="P232" s="100"/>
    </row>
    <row r="233" spans="1:16" hidden="1" x14ac:dyDescent="0.3">
      <c r="A233" s="98"/>
      <c r="B233" s="98"/>
      <c r="C233" s="98"/>
      <c r="D233" s="98"/>
      <c r="E233" s="98"/>
      <c r="F233" s="98"/>
      <c r="G233" s="112"/>
      <c r="H233" s="98"/>
      <c r="I233" s="98"/>
      <c r="J233" s="98"/>
      <c r="K233" s="98"/>
      <c r="M233" s="94"/>
      <c r="N233" s="99"/>
      <c r="O233" s="100"/>
      <c r="P233" s="100"/>
    </row>
    <row r="234" spans="1:16" hidden="1" x14ac:dyDescent="0.3">
      <c r="A234" s="98"/>
      <c r="B234" s="98"/>
      <c r="C234" s="98"/>
      <c r="D234" s="98"/>
      <c r="E234" s="98"/>
      <c r="F234" s="98"/>
      <c r="G234" s="112"/>
      <c r="H234" s="98"/>
      <c r="I234" s="98"/>
      <c r="J234" s="98"/>
      <c r="K234" s="98"/>
      <c r="M234" s="94"/>
      <c r="N234" s="99"/>
      <c r="O234" s="100"/>
      <c r="P234" s="100"/>
    </row>
    <row r="235" spans="1:16" hidden="1" x14ac:dyDescent="0.3">
      <c r="A235" s="98"/>
      <c r="B235" s="98"/>
      <c r="C235" s="98"/>
      <c r="D235" s="98"/>
      <c r="E235" s="98"/>
      <c r="F235" s="98"/>
      <c r="G235" s="112"/>
      <c r="H235" s="98"/>
      <c r="I235" s="98"/>
      <c r="J235" s="98"/>
      <c r="K235" s="98"/>
      <c r="M235" s="94"/>
      <c r="N235" s="99"/>
      <c r="O235" s="100"/>
      <c r="P235" s="100"/>
    </row>
    <row r="236" spans="1:16" hidden="1" x14ac:dyDescent="0.3">
      <c r="A236" s="98"/>
      <c r="B236" s="98"/>
      <c r="C236" s="98"/>
      <c r="D236" s="98"/>
      <c r="E236" s="98"/>
      <c r="F236" s="98"/>
      <c r="G236" s="112"/>
      <c r="H236" s="98"/>
      <c r="I236" s="98"/>
      <c r="J236" s="98"/>
      <c r="K236" s="98"/>
      <c r="M236" s="94"/>
      <c r="N236" s="99"/>
      <c r="O236" s="100"/>
      <c r="P236" s="100"/>
    </row>
    <row r="237" spans="1:16" hidden="1" x14ac:dyDescent="0.3">
      <c r="A237" s="98"/>
      <c r="B237" s="98"/>
      <c r="C237" s="98"/>
      <c r="D237" s="98"/>
      <c r="E237" s="98"/>
      <c r="F237" s="98"/>
      <c r="G237" s="112"/>
      <c r="H237" s="98"/>
      <c r="I237" s="98"/>
      <c r="J237" s="98"/>
      <c r="K237" s="98"/>
      <c r="M237" s="94"/>
      <c r="N237" s="99"/>
      <c r="O237" s="100"/>
      <c r="P237" s="100"/>
    </row>
    <row r="238" spans="1:16" hidden="1" x14ac:dyDescent="0.3">
      <c r="A238" s="98"/>
      <c r="B238" s="98"/>
      <c r="C238" s="98"/>
      <c r="D238" s="98"/>
      <c r="E238" s="98"/>
      <c r="F238" s="98"/>
      <c r="G238" s="112"/>
      <c r="H238" s="98"/>
      <c r="I238" s="98"/>
      <c r="J238" s="98"/>
      <c r="K238" s="98"/>
      <c r="M238" s="94"/>
      <c r="N238" s="99"/>
      <c r="O238" s="100"/>
      <c r="P238" s="100"/>
    </row>
    <row r="239" spans="1:16" hidden="1" x14ac:dyDescent="0.3">
      <c r="A239" s="98"/>
      <c r="B239" s="98"/>
      <c r="C239" s="98"/>
      <c r="D239" s="98"/>
      <c r="E239" s="98"/>
      <c r="F239" s="98"/>
      <c r="G239" s="112"/>
      <c r="H239" s="98"/>
      <c r="I239" s="98"/>
      <c r="J239" s="98"/>
      <c r="K239" s="98"/>
      <c r="M239" s="94"/>
      <c r="N239" s="99"/>
      <c r="O239" s="100"/>
      <c r="P239" s="100"/>
    </row>
    <row r="240" spans="1:16" hidden="1" x14ac:dyDescent="0.3">
      <c r="A240" s="98"/>
      <c r="B240" s="98"/>
      <c r="C240" s="98"/>
      <c r="D240" s="98"/>
      <c r="E240" s="98"/>
      <c r="F240" s="98"/>
      <c r="G240" s="112"/>
      <c r="H240" s="98"/>
      <c r="I240" s="98"/>
      <c r="J240" s="98"/>
      <c r="K240" s="98"/>
      <c r="M240" s="94"/>
      <c r="N240" s="99"/>
      <c r="O240" s="100"/>
      <c r="P240" s="100"/>
    </row>
    <row r="241" spans="1:16" hidden="1" x14ac:dyDescent="0.3">
      <c r="A241" s="98"/>
      <c r="B241" s="98"/>
      <c r="C241" s="98"/>
      <c r="D241" s="98"/>
      <c r="E241" s="98"/>
      <c r="F241" s="98"/>
      <c r="G241" s="112"/>
      <c r="H241" s="98"/>
      <c r="I241" s="98"/>
      <c r="J241" s="98"/>
      <c r="K241" s="98"/>
      <c r="M241" s="94"/>
      <c r="N241" s="99"/>
      <c r="O241" s="100"/>
      <c r="P241" s="100"/>
    </row>
    <row r="242" spans="1:16" hidden="1" x14ac:dyDescent="0.3">
      <c r="A242" s="98"/>
      <c r="B242" s="98"/>
      <c r="C242" s="98"/>
      <c r="D242" s="98"/>
      <c r="E242" s="98"/>
      <c r="F242" s="98"/>
      <c r="G242" s="112"/>
      <c r="H242" s="98"/>
      <c r="I242" s="98"/>
      <c r="J242" s="98"/>
      <c r="K242" s="98"/>
      <c r="M242" s="94"/>
      <c r="N242" s="99"/>
      <c r="O242" s="100"/>
      <c r="P242" s="100"/>
    </row>
    <row r="243" spans="1:16" hidden="1" x14ac:dyDescent="0.3">
      <c r="A243" s="98"/>
      <c r="B243" s="98"/>
      <c r="C243" s="98"/>
      <c r="D243" s="98"/>
      <c r="E243" s="98"/>
      <c r="F243" s="98"/>
      <c r="G243" s="112"/>
      <c r="H243" s="98"/>
      <c r="I243" s="98"/>
      <c r="J243" s="98"/>
      <c r="K243" s="98"/>
      <c r="M243" s="94"/>
      <c r="N243" s="99"/>
      <c r="O243" s="100"/>
      <c r="P243" s="100"/>
    </row>
    <row r="244" spans="1:16" hidden="1" x14ac:dyDescent="0.3">
      <c r="A244" s="98"/>
      <c r="B244" s="98"/>
      <c r="C244" s="98"/>
      <c r="D244" s="98"/>
      <c r="E244" s="98"/>
      <c r="F244" s="98"/>
      <c r="G244" s="112"/>
      <c r="H244" s="98"/>
      <c r="I244" s="98"/>
      <c r="J244" s="98"/>
      <c r="K244" s="98"/>
      <c r="M244" s="94"/>
      <c r="N244" s="99"/>
      <c r="O244" s="100"/>
      <c r="P244" s="100"/>
    </row>
    <row r="245" spans="1:16" hidden="1" x14ac:dyDescent="0.3">
      <c r="A245" s="98"/>
      <c r="B245" s="98"/>
      <c r="C245" s="98"/>
      <c r="D245" s="98"/>
      <c r="E245" s="98"/>
      <c r="F245" s="98"/>
      <c r="G245" s="112"/>
      <c r="H245" s="98"/>
      <c r="I245" s="98"/>
      <c r="J245" s="98"/>
      <c r="K245" s="98"/>
      <c r="M245" s="94"/>
      <c r="N245" s="99"/>
      <c r="O245" s="100"/>
      <c r="P245" s="100"/>
    </row>
    <row r="246" spans="1:16" hidden="1" x14ac:dyDescent="0.3">
      <c r="A246" s="98"/>
      <c r="B246" s="98"/>
      <c r="C246" s="98"/>
      <c r="D246" s="98"/>
      <c r="E246" s="98"/>
      <c r="F246" s="98"/>
      <c r="G246" s="112"/>
      <c r="H246" s="98"/>
      <c r="I246" s="98"/>
      <c r="J246" s="98"/>
      <c r="K246" s="98"/>
      <c r="M246" s="94"/>
      <c r="N246" s="99"/>
      <c r="O246" s="100"/>
      <c r="P246" s="100"/>
    </row>
    <row r="247" spans="1:16" hidden="1" x14ac:dyDescent="0.3">
      <c r="A247" s="98"/>
      <c r="B247" s="98"/>
      <c r="C247" s="98"/>
      <c r="D247" s="98"/>
      <c r="E247" s="98"/>
      <c r="F247" s="98"/>
      <c r="G247" s="112"/>
      <c r="H247" s="98"/>
      <c r="I247" s="98"/>
      <c r="J247" s="98"/>
      <c r="K247" s="98"/>
      <c r="M247" s="94"/>
      <c r="N247" s="99"/>
      <c r="O247" s="100"/>
      <c r="P247" s="100"/>
    </row>
    <row r="248" spans="1:16" hidden="1" x14ac:dyDescent="0.3">
      <c r="A248" s="98"/>
      <c r="B248" s="98"/>
      <c r="C248" s="98"/>
      <c r="D248" s="98"/>
      <c r="E248" s="98"/>
      <c r="F248" s="98"/>
      <c r="G248" s="112"/>
      <c r="H248" s="98"/>
      <c r="I248" s="98"/>
      <c r="J248" s="98"/>
      <c r="K248" s="98"/>
      <c r="M248" s="94"/>
      <c r="N248" s="99"/>
      <c r="O248" s="100"/>
      <c r="P248" s="100"/>
    </row>
    <row r="249" spans="1:16" hidden="1" x14ac:dyDescent="0.3">
      <c r="A249" s="98"/>
      <c r="B249" s="98"/>
      <c r="C249" s="98"/>
      <c r="D249" s="98"/>
      <c r="E249" s="98"/>
      <c r="F249" s="98"/>
      <c r="G249" s="112"/>
      <c r="H249" s="98"/>
      <c r="I249" s="98"/>
      <c r="J249" s="98"/>
      <c r="K249" s="98"/>
      <c r="M249" s="94"/>
      <c r="N249" s="99"/>
      <c r="O249" s="100"/>
      <c r="P249" s="100"/>
    </row>
    <row r="250" spans="1:16" hidden="1" x14ac:dyDescent="0.3">
      <c r="A250" s="98"/>
      <c r="B250" s="98"/>
      <c r="C250" s="98"/>
      <c r="D250" s="98"/>
      <c r="E250" s="98"/>
      <c r="F250" s="98"/>
      <c r="G250" s="112"/>
      <c r="H250" s="98"/>
      <c r="I250" s="98"/>
      <c r="J250" s="98"/>
      <c r="K250" s="98"/>
      <c r="M250" s="94"/>
      <c r="N250" s="99"/>
      <c r="O250" s="100"/>
      <c r="P250" s="100"/>
    </row>
    <row r="251" spans="1:16" hidden="1" x14ac:dyDescent="0.3">
      <c r="A251" s="98"/>
      <c r="B251" s="98"/>
      <c r="C251" s="98"/>
      <c r="D251" s="98"/>
      <c r="E251" s="98"/>
      <c r="F251" s="98"/>
      <c r="G251" s="112"/>
      <c r="H251" s="98"/>
      <c r="I251" s="98"/>
      <c r="J251" s="98"/>
      <c r="K251" s="98"/>
      <c r="M251" s="94"/>
      <c r="N251" s="99"/>
      <c r="O251" s="100"/>
      <c r="P251" s="100"/>
    </row>
    <row r="252" spans="1:16" hidden="1" x14ac:dyDescent="0.3">
      <c r="A252" s="98"/>
      <c r="B252" s="98"/>
      <c r="C252" s="98"/>
      <c r="D252" s="98"/>
      <c r="E252" s="98"/>
      <c r="F252" s="98"/>
      <c r="G252" s="112"/>
      <c r="H252" s="98"/>
      <c r="I252" s="98"/>
      <c r="J252" s="98"/>
      <c r="K252" s="98"/>
      <c r="M252" s="94"/>
      <c r="N252" s="99"/>
      <c r="O252" s="100"/>
      <c r="P252" s="100"/>
    </row>
    <row r="253" spans="1:16" hidden="1" x14ac:dyDescent="0.3">
      <c r="A253" s="98"/>
      <c r="B253" s="98"/>
      <c r="C253" s="98"/>
      <c r="D253" s="98"/>
      <c r="E253" s="98"/>
      <c r="F253" s="98"/>
      <c r="G253" s="112"/>
      <c r="H253" s="98"/>
      <c r="I253" s="98"/>
      <c r="J253" s="98"/>
      <c r="K253" s="98"/>
      <c r="M253" s="94"/>
      <c r="N253" s="99"/>
      <c r="O253" s="100"/>
      <c r="P253" s="100"/>
    </row>
    <row r="254" spans="1:16" hidden="1" x14ac:dyDescent="0.3">
      <c r="A254" s="98"/>
      <c r="B254" s="98"/>
      <c r="C254" s="98"/>
      <c r="D254" s="98"/>
      <c r="E254" s="98"/>
      <c r="F254" s="98"/>
      <c r="G254" s="112"/>
      <c r="H254" s="98"/>
      <c r="I254" s="98"/>
      <c r="J254" s="98"/>
      <c r="K254" s="98"/>
      <c r="M254" s="94"/>
      <c r="N254" s="99"/>
      <c r="O254" s="100"/>
      <c r="P254" s="100"/>
    </row>
    <row r="255" spans="1:16" hidden="1" x14ac:dyDescent="0.3">
      <c r="A255" s="98"/>
      <c r="B255" s="98"/>
      <c r="C255" s="98"/>
      <c r="D255" s="98"/>
      <c r="E255" s="98"/>
      <c r="F255" s="98"/>
      <c r="G255" s="112"/>
      <c r="H255" s="98"/>
      <c r="I255" s="98"/>
      <c r="J255" s="98"/>
      <c r="K255" s="98"/>
      <c r="M255" s="94"/>
      <c r="N255" s="99"/>
      <c r="O255" s="100"/>
      <c r="P255" s="100"/>
    </row>
    <row r="256" spans="1:16" hidden="1" x14ac:dyDescent="0.3">
      <c r="A256" s="98"/>
      <c r="B256" s="98"/>
      <c r="C256" s="98"/>
      <c r="D256" s="98"/>
      <c r="E256" s="98"/>
      <c r="F256" s="98"/>
      <c r="G256" s="112"/>
      <c r="H256" s="98"/>
      <c r="I256" s="98"/>
      <c r="J256" s="98"/>
      <c r="K256" s="98"/>
      <c r="M256" s="94"/>
      <c r="N256" s="99"/>
      <c r="O256" s="100"/>
      <c r="P256" s="100"/>
    </row>
    <row r="257" spans="1:16" hidden="1" x14ac:dyDescent="0.3">
      <c r="A257" s="98"/>
      <c r="B257" s="98"/>
      <c r="C257" s="98"/>
      <c r="D257" s="98"/>
      <c r="E257" s="98"/>
      <c r="F257" s="98"/>
      <c r="G257" s="112"/>
      <c r="H257" s="98"/>
      <c r="I257" s="98"/>
      <c r="J257" s="98"/>
      <c r="K257" s="98"/>
      <c r="M257" s="94"/>
      <c r="N257" s="99"/>
      <c r="O257" s="100"/>
      <c r="P257" s="100"/>
    </row>
    <row r="258" spans="1:16" hidden="1" x14ac:dyDescent="0.3">
      <c r="A258" s="98"/>
      <c r="B258" s="98"/>
      <c r="C258" s="98"/>
      <c r="D258" s="98"/>
      <c r="E258" s="98"/>
      <c r="F258" s="98"/>
      <c r="G258" s="112"/>
      <c r="H258" s="98"/>
      <c r="I258" s="98"/>
      <c r="J258" s="98"/>
      <c r="K258" s="98"/>
      <c r="M258" s="94"/>
      <c r="N258" s="99"/>
      <c r="O258" s="100"/>
      <c r="P258" s="100"/>
    </row>
    <row r="259" spans="1:16" hidden="1" x14ac:dyDescent="0.3">
      <c r="A259" s="98"/>
      <c r="B259" s="98"/>
      <c r="C259" s="98"/>
      <c r="D259" s="98"/>
      <c r="E259" s="98"/>
      <c r="F259" s="98"/>
      <c r="G259" s="112"/>
      <c r="H259" s="98"/>
      <c r="I259" s="98"/>
      <c r="J259" s="98"/>
      <c r="K259" s="98"/>
      <c r="M259" s="94"/>
      <c r="N259" s="99"/>
      <c r="O259" s="100"/>
      <c r="P259" s="100"/>
    </row>
    <row r="260" spans="1:16" hidden="1" x14ac:dyDescent="0.3">
      <c r="A260" s="98"/>
      <c r="B260" s="98"/>
      <c r="C260" s="98"/>
      <c r="D260" s="98"/>
      <c r="E260" s="98"/>
      <c r="F260" s="98"/>
      <c r="G260" s="112"/>
      <c r="H260" s="98"/>
      <c r="I260" s="98"/>
      <c r="J260" s="98"/>
      <c r="K260" s="98"/>
      <c r="M260" s="94"/>
      <c r="N260" s="99"/>
      <c r="O260" s="100"/>
      <c r="P260" s="100"/>
    </row>
    <row r="261" spans="1:16" hidden="1" x14ac:dyDescent="0.3">
      <c r="A261" s="98"/>
      <c r="B261" s="98"/>
      <c r="C261" s="98"/>
      <c r="D261" s="98"/>
      <c r="E261" s="98"/>
      <c r="F261" s="98"/>
      <c r="G261" s="112"/>
      <c r="H261" s="98"/>
      <c r="I261" s="98"/>
      <c r="J261" s="98"/>
      <c r="K261" s="98"/>
      <c r="M261" s="94"/>
      <c r="N261" s="99"/>
      <c r="O261" s="100"/>
      <c r="P261" s="100"/>
    </row>
    <row r="262" spans="1:16" hidden="1" x14ac:dyDescent="0.3">
      <c r="A262" s="98"/>
      <c r="B262" s="98"/>
      <c r="C262" s="98"/>
      <c r="D262" s="98"/>
      <c r="E262" s="98"/>
      <c r="F262" s="98"/>
      <c r="G262" s="112"/>
      <c r="H262" s="98"/>
      <c r="I262" s="98"/>
      <c r="J262" s="98"/>
      <c r="K262" s="98"/>
      <c r="M262" s="94"/>
      <c r="N262" s="99"/>
      <c r="O262" s="100"/>
      <c r="P262" s="100"/>
    </row>
    <row r="263" spans="1:16" hidden="1" x14ac:dyDescent="0.3">
      <c r="A263" s="98"/>
      <c r="B263" s="98"/>
      <c r="C263" s="98"/>
      <c r="D263" s="98"/>
      <c r="E263" s="98"/>
      <c r="F263" s="98"/>
      <c r="G263" s="112"/>
      <c r="H263" s="98"/>
      <c r="I263" s="98"/>
      <c r="J263" s="98"/>
      <c r="K263" s="98"/>
      <c r="M263" s="94"/>
      <c r="N263" s="99"/>
      <c r="O263" s="100"/>
      <c r="P263" s="100"/>
    </row>
    <row r="264" spans="1:16" hidden="1" x14ac:dyDescent="0.3">
      <c r="A264" s="98"/>
      <c r="B264" s="98"/>
      <c r="C264" s="98"/>
      <c r="D264" s="98"/>
      <c r="E264" s="98"/>
      <c r="F264" s="98"/>
      <c r="G264" s="112"/>
      <c r="H264" s="98"/>
      <c r="I264" s="98"/>
      <c r="J264" s="98"/>
      <c r="K264" s="98"/>
      <c r="M264" s="94"/>
      <c r="N264" s="99"/>
      <c r="O264" s="100"/>
      <c r="P264" s="100"/>
    </row>
    <row r="265" spans="1:16" hidden="1" x14ac:dyDescent="0.3">
      <c r="A265" s="98"/>
      <c r="B265" s="98"/>
      <c r="C265" s="98"/>
      <c r="D265" s="98"/>
      <c r="E265" s="98"/>
      <c r="F265" s="98"/>
      <c r="G265" s="112"/>
      <c r="H265" s="98"/>
      <c r="I265" s="98"/>
      <c r="J265" s="98"/>
      <c r="K265" s="98"/>
      <c r="M265" s="94"/>
      <c r="N265" s="99"/>
      <c r="O265" s="100"/>
      <c r="P265" s="100"/>
    </row>
    <row r="266" spans="1:16" hidden="1" x14ac:dyDescent="0.3">
      <c r="A266" s="98"/>
      <c r="B266" s="98"/>
      <c r="C266" s="98"/>
      <c r="D266" s="98"/>
      <c r="E266" s="98"/>
      <c r="F266" s="98"/>
      <c r="G266" s="112"/>
      <c r="H266" s="98"/>
      <c r="I266" s="98"/>
      <c r="J266" s="98"/>
      <c r="K266" s="98"/>
      <c r="M266" s="94"/>
      <c r="N266" s="99"/>
      <c r="O266" s="100"/>
      <c r="P266" s="100"/>
    </row>
    <row r="267" spans="1:16" hidden="1" x14ac:dyDescent="0.3">
      <c r="A267" s="98"/>
      <c r="B267" s="98"/>
      <c r="C267" s="98"/>
      <c r="D267" s="98"/>
      <c r="E267" s="98"/>
      <c r="F267" s="98"/>
      <c r="G267" s="112"/>
      <c r="H267" s="98"/>
      <c r="I267" s="98"/>
      <c r="J267" s="98"/>
      <c r="K267" s="98"/>
      <c r="M267" s="94"/>
      <c r="N267" s="99"/>
      <c r="O267" s="100"/>
      <c r="P267" s="100"/>
    </row>
    <row r="268" spans="1:16" hidden="1" x14ac:dyDescent="0.3">
      <c r="A268" s="98"/>
      <c r="B268" s="98"/>
      <c r="C268" s="98"/>
      <c r="D268" s="98"/>
      <c r="E268" s="98"/>
      <c r="F268" s="98"/>
      <c r="G268" s="112"/>
      <c r="H268" s="98"/>
      <c r="I268" s="98"/>
      <c r="J268" s="98"/>
      <c r="K268" s="98"/>
      <c r="M268" s="94"/>
      <c r="N268" s="99"/>
      <c r="O268" s="100"/>
      <c r="P268" s="100"/>
    </row>
    <row r="269" spans="1:16" hidden="1" x14ac:dyDescent="0.3">
      <c r="A269" s="98"/>
      <c r="B269" s="98"/>
      <c r="C269" s="98"/>
      <c r="D269" s="98"/>
      <c r="E269" s="98"/>
      <c r="F269" s="98"/>
      <c r="G269" s="112"/>
      <c r="H269" s="98"/>
      <c r="I269" s="98"/>
      <c r="J269" s="98"/>
      <c r="K269" s="98"/>
      <c r="M269" s="94"/>
      <c r="N269" s="99"/>
      <c r="O269" s="100"/>
      <c r="P269" s="100"/>
    </row>
    <row r="270" spans="1:16" hidden="1" x14ac:dyDescent="0.3">
      <c r="A270" s="98"/>
      <c r="B270" s="98"/>
      <c r="C270" s="98"/>
      <c r="D270" s="98"/>
      <c r="E270" s="98"/>
      <c r="F270" s="98"/>
      <c r="G270" s="112"/>
      <c r="H270" s="98"/>
      <c r="I270" s="98"/>
      <c r="J270" s="98"/>
      <c r="K270" s="98"/>
      <c r="M270" s="94"/>
      <c r="N270" s="99"/>
      <c r="O270" s="100"/>
      <c r="P270" s="100"/>
    </row>
    <row r="271" spans="1:16" hidden="1" x14ac:dyDescent="0.3">
      <c r="A271" s="98"/>
      <c r="B271" s="98"/>
      <c r="C271" s="98"/>
      <c r="D271" s="98"/>
      <c r="E271" s="98"/>
      <c r="F271" s="98"/>
      <c r="G271" s="112"/>
      <c r="H271" s="98"/>
      <c r="I271" s="98"/>
      <c r="J271" s="98"/>
      <c r="K271" s="98"/>
      <c r="M271" s="94"/>
      <c r="N271" s="99"/>
      <c r="O271" s="100"/>
      <c r="P271" s="100"/>
    </row>
    <row r="272" spans="1:16" hidden="1" x14ac:dyDescent="0.3">
      <c r="A272" s="98"/>
      <c r="B272" s="98"/>
      <c r="C272" s="98"/>
      <c r="D272" s="98"/>
      <c r="E272" s="98"/>
      <c r="F272" s="98"/>
      <c r="G272" s="112"/>
      <c r="H272" s="98"/>
      <c r="I272" s="98"/>
      <c r="J272" s="98"/>
      <c r="K272" s="98"/>
      <c r="M272" s="94"/>
      <c r="N272" s="99"/>
      <c r="O272" s="100"/>
      <c r="P272" s="100"/>
    </row>
    <row r="273" spans="1:16" hidden="1" x14ac:dyDescent="0.3">
      <c r="A273" s="98"/>
      <c r="B273" s="98"/>
      <c r="C273" s="98"/>
      <c r="D273" s="98"/>
      <c r="E273" s="98"/>
      <c r="F273" s="98"/>
      <c r="G273" s="112"/>
      <c r="H273" s="98"/>
      <c r="I273" s="98"/>
      <c r="J273" s="98"/>
      <c r="K273" s="98"/>
      <c r="M273" s="94"/>
      <c r="N273" s="99"/>
      <c r="O273" s="100"/>
      <c r="P273" s="100"/>
    </row>
    <row r="274" spans="1:16" hidden="1" x14ac:dyDescent="0.3">
      <c r="A274" s="98"/>
      <c r="B274" s="98"/>
      <c r="C274" s="98"/>
      <c r="D274" s="98"/>
      <c r="E274" s="98"/>
      <c r="F274" s="98"/>
      <c r="G274" s="112"/>
      <c r="H274" s="98"/>
      <c r="I274" s="98"/>
      <c r="J274" s="98"/>
      <c r="K274" s="98"/>
      <c r="M274" s="94"/>
      <c r="N274" s="99"/>
      <c r="O274" s="100"/>
      <c r="P274" s="100"/>
    </row>
    <row r="275" spans="1:16" hidden="1" x14ac:dyDescent="0.3">
      <c r="A275" s="98"/>
      <c r="B275" s="98"/>
      <c r="C275" s="98"/>
      <c r="D275" s="98"/>
      <c r="E275" s="98"/>
      <c r="F275" s="98"/>
      <c r="G275" s="112"/>
      <c r="H275" s="98"/>
      <c r="I275" s="98"/>
      <c r="J275" s="98"/>
      <c r="K275" s="98"/>
      <c r="M275" s="94"/>
      <c r="N275" s="99"/>
      <c r="O275" s="100"/>
      <c r="P275" s="100"/>
    </row>
    <row r="276" spans="1:16" hidden="1" x14ac:dyDescent="0.3">
      <c r="A276" s="98"/>
      <c r="B276" s="98"/>
      <c r="C276" s="98"/>
      <c r="D276" s="98"/>
      <c r="E276" s="98"/>
      <c r="F276" s="98"/>
      <c r="G276" s="112"/>
      <c r="H276" s="98"/>
      <c r="I276" s="98"/>
      <c r="J276" s="98"/>
      <c r="K276" s="98"/>
      <c r="M276" s="94"/>
      <c r="N276" s="99"/>
      <c r="O276" s="100"/>
      <c r="P276" s="100"/>
    </row>
    <row r="277" spans="1:16" hidden="1" x14ac:dyDescent="0.3">
      <c r="A277" s="98"/>
      <c r="B277" s="98"/>
      <c r="C277" s="98"/>
      <c r="D277" s="98"/>
      <c r="E277" s="98"/>
      <c r="F277" s="98"/>
      <c r="G277" s="112"/>
      <c r="H277" s="98"/>
      <c r="I277" s="98"/>
      <c r="J277" s="98"/>
      <c r="K277" s="98"/>
      <c r="M277" s="94"/>
      <c r="N277" s="99"/>
      <c r="O277" s="100"/>
      <c r="P277" s="100"/>
    </row>
    <row r="278" spans="1:16" hidden="1" x14ac:dyDescent="0.3">
      <c r="A278" s="98"/>
      <c r="B278" s="98"/>
      <c r="C278" s="98"/>
      <c r="D278" s="98"/>
      <c r="E278" s="98"/>
      <c r="F278" s="98"/>
      <c r="G278" s="112"/>
      <c r="H278" s="98"/>
      <c r="I278" s="98"/>
      <c r="J278" s="98"/>
      <c r="K278" s="98"/>
      <c r="M278" s="94"/>
      <c r="N278" s="99"/>
      <c r="O278" s="100"/>
      <c r="P278" s="100"/>
    </row>
    <row r="279" spans="1:16" hidden="1" x14ac:dyDescent="0.3">
      <c r="A279" s="98"/>
      <c r="B279" s="98"/>
      <c r="C279" s="98"/>
      <c r="D279" s="98"/>
      <c r="E279" s="98"/>
      <c r="F279" s="98"/>
      <c r="G279" s="112"/>
      <c r="H279" s="98"/>
      <c r="I279" s="98"/>
      <c r="J279" s="98"/>
      <c r="K279" s="98"/>
      <c r="M279" s="94"/>
      <c r="N279" s="99"/>
      <c r="O279" s="100"/>
      <c r="P279" s="100"/>
    </row>
    <row r="280" spans="1:16" hidden="1" x14ac:dyDescent="0.3">
      <c r="A280" s="98"/>
      <c r="B280" s="98"/>
      <c r="C280" s="98"/>
      <c r="D280" s="98"/>
      <c r="E280" s="98"/>
      <c r="F280" s="98"/>
      <c r="G280" s="112"/>
      <c r="H280" s="98"/>
      <c r="I280" s="98"/>
      <c r="J280" s="98"/>
      <c r="K280" s="98"/>
      <c r="M280" s="94"/>
      <c r="N280" s="99"/>
      <c r="O280" s="100"/>
      <c r="P280" s="100"/>
    </row>
    <row r="281" spans="1:16" hidden="1" x14ac:dyDescent="0.3">
      <c r="A281" s="98"/>
      <c r="B281" s="98"/>
      <c r="C281" s="98"/>
      <c r="D281" s="98"/>
      <c r="E281" s="98"/>
      <c r="F281" s="98"/>
      <c r="G281" s="112"/>
      <c r="H281" s="98"/>
      <c r="I281" s="98"/>
      <c r="J281" s="98"/>
      <c r="K281" s="98"/>
      <c r="M281" s="94"/>
      <c r="N281" s="99"/>
      <c r="O281" s="100"/>
      <c r="P281" s="100"/>
    </row>
    <row r="282" spans="1:16" hidden="1" x14ac:dyDescent="0.3">
      <c r="A282" s="98"/>
      <c r="B282" s="98"/>
      <c r="C282" s="98"/>
      <c r="D282" s="98"/>
      <c r="E282" s="98"/>
      <c r="F282" s="98"/>
      <c r="G282" s="112"/>
      <c r="H282" s="98"/>
      <c r="I282" s="98"/>
      <c r="J282" s="98"/>
      <c r="K282" s="98"/>
      <c r="M282" s="94"/>
      <c r="N282" s="99"/>
      <c r="O282" s="100"/>
      <c r="P282" s="100"/>
    </row>
    <row r="283" spans="1:16" hidden="1" x14ac:dyDescent="0.3">
      <c r="A283" s="98"/>
      <c r="B283" s="98"/>
      <c r="C283" s="98"/>
      <c r="D283" s="98"/>
      <c r="E283" s="98"/>
      <c r="F283" s="98"/>
      <c r="G283" s="112"/>
      <c r="H283" s="98"/>
      <c r="I283" s="98"/>
      <c r="J283" s="98"/>
      <c r="K283" s="98"/>
      <c r="M283" s="94"/>
      <c r="N283" s="99"/>
      <c r="O283" s="100"/>
      <c r="P283" s="100"/>
    </row>
    <row r="284" spans="1:16" hidden="1" x14ac:dyDescent="0.3">
      <c r="A284" s="98"/>
      <c r="B284" s="98"/>
      <c r="C284" s="98"/>
      <c r="D284" s="98"/>
      <c r="E284" s="98"/>
      <c r="F284" s="98"/>
      <c r="G284" s="112"/>
      <c r="H284" s="98"/>
      <c r="I284" s="98"/>
      <c r="J284" s="98"/>
      <c r="K284" s="98"/>
      <c r="M284" s="94"/>
      <c r="N284" s="99"/>
      <c r="O284" s="100"/>
      <c r="P284" s="100"/>
    </row>
    <row r="285" spans="1:16" hidden="1" x14ac:dyDescent="0.3">
      <c r="A285" s="98"/>
      <c r="B285" s="98"/>
      <c r="C285" s="98"/>
      <c r="D285" s="98"/>
      <c r="E285" s="98"/>
      <c r="F285" s="98"/>
      <c r="G285" s="112"/>
      <c r="H285" s="98"/>
      <c r="I285" s="98"/>
      <c r="J285" s="98"/>
      <c r="K285" s="98"/>
      <c r="M285" s="94"/>
      <c r="N285" s="99"/>
      <c r="O285" s="100"/>
      <c r="P285" s="100"/>
    </row>
    <row r="286" spans="1:16" hidden="1" x14ac:dyDescent="0.3">
      <c r="A286" s="98"/>
      <c r="B286" s="98"/>
      <c r="C286" s="98"/>
      <c r="D286" s="98"/>
      <c r="E286" s="98"/>
      <c r="F286" s="98"/>
      <c r="G286" s="112"/>
      <c r="H286" s="98"/>
      <c r="I286" s="98"/>
      <c r="J286" s="98"/>
      <c r="K286" s="98"/>
      <c r="M286" s="94"/>
      <c r="N286" s="99"/>
      <c r="O286" s="100"/>
      <c r="P286" s="100"/>
    </row>
    <row r="287" spans="1:16" hidden="1" x14ac:dyDescent="0.3">
      <c r="A287" s="98"/>
      <c r="B287" s="98"/>
      <c r="C287" s="98"/>
      <c r="D287" s="98"/>
      <c r="E287" s="98"/>
      <c r="F287" s="98"/>
      <c r="G287" s="112"/>
      <c r="H287" s="98"/>
      <c r="I287" s="98"/>
      <c r="J287" s="98"/>
      <c r="K287" s="98"/>
      <c r="M287" s="94"/>
      <c r="N287" s="99"/>
      <c r="O287" s="100"/>
      <c r="P287" s="100"/>
    </row>
    <row r="288" spans="1:16" hidden="1" x14ac:dyDescent="0.3">
      <c r="A288" s="98"/>
      <c r="B288" s="98"/>
      <c r="C288" s="98"/>
      <c r="D288" s="98"/>
      <c r="E288" s="98"/>
      <c r="F288" s="98"/>
      <c r="G288" s="112"/>
      <c r="H288" s="98"/>
      <c r="I288" s="98"/>
      <c r="J288" s="98"/>
      <c r="K288" s="98"/>
      <c r="M288" s="94"/>
      <c r="N288" s="99"/>
      <c r="O288" s="100"/>
      <c r="P288" s="100"/>
    </row>
    <row r="289" spans="1:16" hidden="1" x14ac:dyDescent="0.3">
      <c r="A289" s="98"/>
      <c r="B289" s="98"/>
      <c r="C289" s="98"/>
      <c r="D289" s="98"/>
      <c r="E289" s="98"/>
      <c r="F289" s="98"/>
      <c r="G289" s="112"/>
      <c r="H289" s="98"/>
      <c r="I289" s="98"/>
      <c r="J289" s="98"/>
      <c r="K289" s="98"/>
      <c r="M289" s="94"/>
      <c r="N289" s="99"/>
      <c r="O289" s="100"/>
      <c r="P289" s="100"/>
    </row>
    <row r="290" spans="1:16" hidden="1" x14ac:dyDescent="0.3">
      <c r="A290" s="98"/>
      <c r="B290" s="98"/>
      <c r="C290" s="98"/>
      <c r="D290" s="98"/>
      <c r="E290" s="98"/>
      <c r="F290" s="98"/>
      <c r="G290" s="112"/>
      <c r="H290" s="98"/>
      <c r="I290" s="98"/>
      <c r="J290" s="98"/>
      <c r="K290" s="98"/>
      <c r="M290" s="94"/>
      <c r="N290" s="99"/>
      <c r="O290" s="100"/>
      <c r="P290" s="100"/>
    </row>
    <row r="291" spans="1:16" hidden="1" x14ac:dyDescent="0.3">
      <c r="A291" s="98"/>
      <c r="B291" s="98"/>
      <c r="C291" s="98"/>
      <c r="D291" s="98"/>
      <c r="E291" s="98"/>
      <c r="F291" s="98"/>
      <c r="G291" s="112"/>
      <c r="H291" s="98"/>
      <c r="I291" s="98"/>
      <c r="J291" s="98"/>
      <c r="K291" s="98"/>
      <c r="M291" s="94"/>
      <c r="N291" s="99"/>
      <c r="O291" s="100"/>
      <c r="P291" s="100"/>
    </row>
    <row r="292" spans="1:16" hidden="1" x14ac:dyDescent="0.3">
      <c r="A292" s="98"/>
      <c r="B292" s="98"/>
      <c r="C292" s="98"/>
      <c r="D292" s="98"/>
      <c r="E292" s="98"/>
      <c r="F292" s="98"/>
      <c r="G292" s="112"/>
      <c r="H292" s="98"/>
      <c r="I292" s="98"/>
      <c r="J292" s="98"/>
      <c r="K292" s="98"/>
      <c r="M292" s="94"/>
      <c r="N292" s="99"/>
      <c r="O292" s="100"/>
      <c r="P292" s="100"/>
    </row>
    <row r="293" spans="1:16" hidden="1" x14ac:dyDescent="0.3">
      <c r="A293" s="98"/>
      <c r="B293" s="98"/>
      <c r="C293" s="98"/>
      <c r="D293" s="98"/>
      <c r="E293" s="98"/>
      <c r="F293" s="98"/>
      <c r="G293" s="112"/>
      <c r="H293" s="98"/>
      <c r="I293" s="98"/>
      <c r="J293" s="98"/>
      <c r="K293" s="98"/>
      <c r="M293" s="94"/>
      <c r="N293" s="99"/>
      <c r="O293" s="100"/>
      <c r="P293" s="100"/>
    </row>
    <row r="294" spans="1:16" hidden="1" x14ac:dyDescent="0.3">
      <c r="A294" s="98"/>
      <c r="B294" s="98"/>
      <c r="C294" s="98"/>
      <c r="D294" s="98"/>
      <c r="E294" s="98"/>
      <c r="F294" s="98"/>
      <c r="G294" s="112"/>
      <c r="H294" s="98"/>
      <c r="I294" s="98"/>
      <c r="J294" s="98"/>
      <c r="K294" s="98"/>
      <c r="M294" s="94"/>
      <c r="N294" s="99"/>
      <c r="O294" s="100"/>
      <c r="P294" s="100"/>
    </row>
    <row r="295" spans="1:16" hidden="1" x14ac:dyDescent="0.3">
      <c r="A295" s="98"/>
      <c r="B295" s="98"/>
      <c r="C295" s="98"/>
      <c r="D295" s="98"/>
      <c r="E295" s="98"/>
      <c r="F295" s="98"/>
      <c r="G295" s="112"/>
      <c r="H295" s="98"/>
      <c r="I295" s="98"/>
      <c r="J295" s="98"/>
      <c r="K295" s="98"/>
      <c r="M295" s="94"/>
      <c r="N295" s="99"/>
      <c r="O295" s="100"/>
      <c r="P295" s="100"/>
    </row>
    <row r="296" spans="1:16" hidden="1" x14ac:dyDescent="0.3">
      <c r="A296" s="98"/>
      <c r="B296" s="98"/>
      <c r="C296" s="98"/>
      <c r="D296" s="98"/>
      <c r="E296" s="98"/>
      <c r="F296" s="98"/>
      <c r="G296" s="112"/>
      <c r="H296" s="98"/>
      <c r="I296" s="98"/>
      <c r="J296" s="98"/>
      <c r="K296" s="98"/>
      <c r="M296" s="94"/>
      <c r="N296" s="99"/>
      <c r="O296" s="100"/>
      <c r="P296" s="100"/>
    </row>
    <row r="297" spans="1:16" hidden="1" x14ac:dyDescent="0.3">
      <c r="A297" s="98"/>
      <c r="B297" s="98"/>
      <c r="C297" s="98"/>
      <c r="D297" s="98"/>
      <c r="E297" s="98"/>
      <c r="F297" s="98"/>
      <c r="G297" s="112"/>
      <c r="H297" s="98"/>
      <c r="I297" s="98"/>
      <c r="J297" s="98"/>
      <c r="K297" s="98"/>
      <c r="M297" s="94"/>
      <c r="N297" s="99"/>
      <c r="O297" s="100"/>
      <c r="P297" s="100"/>
    </row>
    <row r="298" spans="1:16" hidden="1" x14ac:dyDescent="0.3">
      <c r="A298" s="98"/>
      <c r="B298" s="98"/>
      <c r="C298" s="98"/>
      <c r="D298" s="98"/>
      <c r="E298" s="98"/>
      <c r="F298" s="98"/>
      <c r="G298" s="112"/>
      <c r="H298" s="98"/>
      <c r="I298" s="98"/>
      <c r="J298" s="98"/>
      <c r="K298" s="98"/>
      <c r="M298" s="94"/>
      <c r="N298" s="99"/>
      <c r="O298" s="100"/>
      <c r="P298" s="100"/>
    </row>
    <row r="299" spans="1:16" hidden="1" x14ac:dyDescent="0.3">
      <c r="A299" s="98"/>
      <c r="B299" s="98"/>
      <c r="C299" s="98"/>
      <c r="D299" s="98"/>
      <c r="E299" s="98"/>
      <c r="F299" s="98"/>
      <c r="G299" s="112"/>
      <c r="H299" s="98"/>
      <c r="I299" s="98"/>
      <c r="J299" s="98"/>
      <c r="K299" s="98"/>
      <c r="M299" s="94"/>
      <c r="N299" s="99"/>
      <c r="O299" s="100"/>
      <c r="P299" s="100"/>
    </row>
    <row r="300" spans="1:16" hidden="1" x14ac:dyDescent="0.3">
      <c r="A300" s="98"/>
      <c r="B300" s="98"/>
      <c r="C300" s="98"/>
      <c r="D300" s="98"/>
      <c r="E300" s="98"/>
      <c r="F300" s="98"/>
      <c r="G300" s="112"/>
      <c r="H300" s="98"/>
      <c r="I300" s="98"/>
      <c r="J300" s="98"/>
      <c r="K300" s="98"/>
      <c r="M300" s="94"/>
      <c r="N300" s="99"/>
      <c r="O300" s="100"/>
      <c r="P300" s="100"/>
    </row>
    <row r="301" spans="1:16" hidden="1" x14ac:dyDescent="0.3">
      <c r="A301" s="98"/>
      <c r="B301" s="98"/>
      <c r="C301" s="98"/>
      <c r="D301" s="98"/>
      <c r="E301" s="98"/>
      <c r="F301" s="98"/>
      <c r="G301" s="112"/>
      <c r="H301" s="98"/>
      <c r="I301" s="98"/>
      <c r="J301" s="98"/>
      <c r="K301" s="98"/>
      <c r="M301" s="94"/>
      <c r="N301" s="99"/>
      <c r="O301" s="100"/>
      <c r="P301" s="100"/>
    </row>
    <row r="302" spans="1:16" hidden="1" x14ac:dyDescent="0.3">
      <c r="A302" s="98"/>
      <c r="B302" s="98"/>
      <c r="C302" s="98"/>
      <c r="D302" s="98"/>
      <c r="E302" s="98"/>
      <c r="F302" s="98"/>
      <c r="G302" s="112"/>
      <c r="H302" s="98"/>
      <c r="I302" s="98"/>
      <c r="J302" s="98"/>
      <c r="K302" s="98"/>
      <c r="M302" s="94"/>
      <c r="N302" s="99"/>
      <c r="O302" s="100"/>
      <c r="P302" s="100"/>
    </row>
    <row r="303" spans="1:16" hidden="1" x14ac:dyDescent="0.3">
      <c r="A303" s="98"/>
      <c r="B303" s="98"/>
      <c r="C303" s="98"/>
      <c r="D303" s="98"/>
      <c r="E303" s="98"/>
      <c r="F303" s="98"/>
      <c r="G303" s="112"/>
      <c r="H303" s="98"/>
      <c r="I303" s="98"/>
      <c r="J303" s="98"/>
      <c r="K303" s="98"/>
      <c r="M303" s="94"/>
      <c r="N303" s="99"/>
      <c r="O303" s="100"/>
      <c r="P303" s="100"/>
    </row>
    <row r="304" spans="1:16" hidden="1" x14ac:dyDescent="0.3">
      <c r="A304" s="98"/>
      <c r="B304" s="98"/>
      <c r="C304" s="98"/>
      <c r="D304" s="98"/>
      <c r="E304" s="98"/>
      <c r="F304" s="98"/>
      <c r="G304" s="112"/>
      <c r="H304" s="98"/>
      <c r="I304" s="98"/>
      <c r="J304" s="98"/>
      <c r="K304" s="98"/>
      <c r="M304" s="94"/>
      <c r="N304" s="99"/>
      <c r="O304" s="100"/>
      <c r="P304" s="100"/>
    </row>
    <row r="305" spans="1:16" hidden="1" x14ac:dyDescent="0.3">
      <c r="A305" s="98"/>
      <c r="B305" s="98"/>
      <c r="C305" s="98"/>
      <c r="D305" s="98"/>
      <c r="E305" s="98"/>
      <c r="F305" s="98"/>
      <c r="G305" s="112"/>
      <c r="H305" s="98"/>
      <c r="I305" s="98"/>
      <c r="J305" s="98"/>
      <c r="K305" s="98"/>
      <c r="M305" s="94"/>
      <c r="N305" s="99"/>
      <c r="O305" s="100"/>
      <c r="P305" s="100"/>
    </row>
    <row r="306" spans="1:16" hidden="1" x14ac:dyDescent="0.3">
      <c r="A306" s="98"/>
      <c r="B306" s="98"/>
      <c r="C306" s="98"/>
      <c r="D306" s="98"/>
      <c r="E306" s="98"/>
      <c r="F306" s="98"/>
      <c r="G306" s="112"/>
      <c r="H306" s="98"/>
      <c r="I306" s="98"/>
      <c r="J306" s="98"/>
      <c r="K306" s="98"/>
      <c r="M306" s="94"/>
      <c r="N306" s="99"/>
      <c r="O306" s="100"/>
      <c r="P306" s="100"/>
    </row>
    <row r="307" spans="1:16" hidden="1" x14ac:dyDescent="0.3">
      <c r="A307" s="98"/>
      <c r="B307" s="98"/>
      <c r="C307" s="98"/>
      <c r="D307" s="98"/>
      <c r="E307" s="98"/>
      <c r="F307" s="98"/>
      <c r="G307" s="112"/>
      <c r="H307" s="98"/>
      <c r="I307" s="98"/>
      <c r="J307" s="98"/>
      <c r="K307" s="98"/>
      <c r="M307" s="94"/>
      <c r="N307" s="99"/>
      <c r="O307" s="100"/>
      <c r="P307" s="100"/>
    </row>
    <row r="308" spans="1:16" hidden="1" x14ac:dyDescent="0.3">
      <c r="A308" s="98"/>
      <c r="B308" s="98"/>
      <c r="C308" s="98"/>
      <c r="D308" s="98"/>
      <c r="E308" s="98"/>
      <c r="F308" s="98"/>
      <c r="G308" s="112"/>
      <c r="H308" s="98"/>
      <c r="I308" s="98"/>
      <c r="J308" s="98"/>
      <c r="K308" s="98"/>
      <c r="M308" s="94"/>
      <c r="N308" s="99"/>
      <c r="O308" s="100"/>
      <c r="P308" s="100"/>
    </row>
    <row r="309" spans="1:16" hidden="1" x14ac:dyDescent="0.3">
      <c r="A309" s="98"/>
      <c r="B309" s="98"/>
      <c r="C309" s="98"/>
      <c r="D309" s="98"/>
      <c r="E309" s="98"/>
      <c r="F309" s="98"/>
      <c r="G309" s="112"/>
      <c r="H309" s="98"/>
      <c r="I309" s="98"/>
      <c r="J309" s="98"/>
      <c r="K309" s="98"/>
      <c r="M309" s="94"/>
      <c r="N309" s="99"/>
      <c r="O309" s="100"/>
      <c r="P309" s="100"/>
    </row>
    <row r="310" spans="1:16" hidden="1" x14ac:dyDescent="0.3">
      <c r="A310" s="98"/>
      <c r="B310" s="98"/>
      <c r="C310" s="98"/>
      <c r="D310" s="98"/>
      <c r="E310" s="98"/>
      <c r="F310" s="98"/>
      <c r="G310" s="112"/>
      <c r="H310" s="98"/>
      <c r="I310" s="98"/>
      <c r="J310" s="98"/>
      <c r="K310" s="98"/>
      <c r="M310" s="94"/>
      <c r="N310" s="99"/>
      <c r="O310" s="100"/>
      <c r="P310" s="100"/>
    </row>
    <row r="311" spans="1:16" hidden="1" x14ac:dyDescent="0.3">
      <c r="A311" s="98"/>
      <c r="B311" s="98"/>
      <c r="C311" s="98"/>
      <c r="D311" s="98"/>
      <c r="E311" s="98"/>
      <c r="F311" s="98"/>
      <c r="G311" s="112"/>
      <c r="H311" s="98"/>
      <c r="I311" s="98"/>
      <c r="J311" s="98"/>
      <c r="K311" s="98"/>
      <c r="M311" s="94"/>
      <c r="N311" s="99"/>
      <c r="O311" s="100"/>
      <c r="P311" s="100"/>
    </row>
    <row r="312" spans="1:16" hidden="1" x14ac:dyDescent="0.3">
      <c r="A312" s="98"/>
      <c r="B312" s="98"/>
      <c r="C312" s="98"/>
      <c r="D312" s="98"/>
      <c r="E312" s="98"/>
      <c r="F312" s="98"/>
      <c r="G312" s="112"/>
      <c r="H312" s="98"/>
      <c r="I312" s="98"/>
      <c r="J312" s="98"/>
      <c r="K312" s="98"/>
      <c r="M312" s="94"/>
      <c r="N312" s="99"/>
      <c r="O312" s="100"/>
      <c r="P312" s="100"/>
    </row>
    <row r="313" spans="1:16" hidden="1" x14ac:dyDescent="0.3">
      <c r="A313" s="98"/>
      <c r="B313" s="98"/>
      <c r="C313" s="98"/>
      <c r="D313" s="98"/>
      <c r="E313" s="98"/>
      <c r="F313" s="98"/>
      <c r="G313" s="112"/>
      <c r="H313" s="98"/>
      <c r="I313" s="98"/>
      <c r="J313" s="98"/>
      <c r="K313" s="98"/>
      <c r="M313" s="94"/>
      <c r="N313" s="99"/>
      <c r="O313" s="100"/>
      <c r="P313" s="100"/>
    </row>
    <row r="314" spans="1:16" hidden="1" x14ac:dyDescent="0.3">
      <c r="A314" s="98"/>
      <c r="B314" s="98"/>
      <c r="C314" s="98"/>
      <c r="D314" s="98"/>
      <c r="E314" s="98"/>
      <c r="F314" s="98"/>
      <c r="G314" s="112"/>
      <c r="H314" s="98"/>
      <c r="I314" s="98"/>
      <c r="J314" s="98"/>
      <c r="K314" s="98"/>
      <c r="M314" s="94"/>
      <c r="N314" s="99"/>
      <c r="O314" s="100"/>
      <c r="P314" s="100"/>
    </row>
    <row r="315" spans="1:16" hidden="1" x14ac:dyDescent="0.3">
      <c r="A315" s="98"/>
      <c r="B315" s="98"/>
      <c r="C315" s="98"/>
      <c r="D315" s="98"/>
      <c r="E315" s="98"/>
      <c r="F315" s="98"/>
      <c r="G315" s="112"/>
      <c r="H315" s="98"/>
      <c r="I315" s="98"/>
      <c r="J315" s="98"/>
      <c r="K315" s="98"/>
      <c r="M315" s="94"/>
      <c r="N315" s="99"/>
      <c r="O315" s="100"/>
      <c r="P315" s="100"/>
    </row>
    <row r="316" spans="1:16" hidden="1" x14ac:dyDescent="0.3">
      <c r="A316" s="98"/>
      <c r="B316" s="98"/>
      <c r="C316" s="98"/>
      <c r="D316" s="98"/>
      <c r="E316" s="98"/>
      <c r="F316" s="98"/>
      <c r="G316" s="112"/>
      <c r="H316" s="98"/>
      <c r="I316" s="98"/>
      <c r="J316" s="98"/>
      <c r="K316" s="98"/>
      <c r="M316" s="94"/>
      <c r="N316" s="99"/>
      <c r="O316" s="100"/>
      <c r="P316" s="100"/>
    </row>
    <row r="317" spans="1:16" hidden="1" x14ac:dyDescent="0.3">
      <c r="A317" s="98"/>
      <c r="B317" s="98"/>
      <c r="C317" s="98"/>
      <c r="D317" s="98"/>
      <c r="E317" s="98"/>
      <c r="F317" s="98"/>
      <c r="G317" s="112"/>
      <c r="H317" s="98"/>
      <c r="I317" s="98"/>
      <c r="J317" s="98"/>
      <c r="K317" s="98"/>
      <c r="M317" s="94"/>
      <c r="N317" s="99"/>
      <c r="O317" s="100"/>
      <c r="P317" s="100"/>
    </row>
    <row r="318" spans="1:16" hidden="1" x14ac:dyDescent="0.3">
      <c r="A318" s="98"/>
      <c r="B318" s="98"/>
      <c r="C318" s="98"/>
      <c r="D318" s="98"/>
      <c r="E318" s="98"/>
      <c r="F318" s="98"/>
      <c r="G318" s="112"/>
      <c r="H318" s="98"/>
      <c r="I318" s="98"/>
      <c r="J318" s="98"/>
      <c r="K318" s="98"/>
      <c r="M318" s="94"/>
      <c r="N318" s="99"/>
      <c r="O318" s="100"/>
      <c r="P318" s="100"/>
    </row>
    <row r="319" spans="1:16" hidden="1" x14ac:dyDescent="0.3">
      <c r="A319" s="98"/>
      <c r="B319" s="98"/>
      <c r="C319" s="98"/>
      <c r="D319" s="98"/>
      <c r="E319" s="98"/>
      <c r="F319" s="98"/>
      <c r="G319" s="112"/>
      <c r="H319" s="98"/>
      <c r="I319" s="98"/>
      <c r="J319" s="98"/>
      <c r="K319" s="98"/>
      <c r="M319" s="94"/>
      <c r="N319" s="99"/>
      <c r="O319" s="100"/>
      <c r="P319" s="100"/>
    </row>
    <row r="320" spans="1:16" hidden="1" x14ac:dyDescent="0.3">
      <c r="A320" s="98"/>
      <c r="B320" s="98"/>
      <c r="C320" s="98"/>
      <c r="D320" s="98"/>
      <c r="E320" s="98"/>
      <c r="F320" s="98"/>
      <c r="G320" s="112"/>
      <c r="H320" s="98"/>
      <c r="I320" s="98"/>
      <c r="J320" s="98"/>
      <c r="K320" s="98"/>
      <c r="M320" s="94"/>
      <c r="N320" s="99"/>
      <c r="O320" s="100"/>
      <c r="P320" s="100"/>
    </row>
    <row r="321" spans="1:16" hidden="1" x14ac:dyDescent="0.3">
      <c r="A321" s="98"/>
      <c r="B321" s="98"/>
      <c r="C321" s="98"/>
      <c r="D321" s="98"/>
      <c r="E321" s="98"/>
      <c r="F321" s="98"/>
      <c r="G321" s="112"/>
      <c r="H321" s="98"/>
      <c r="I321" s="98"/>
      <c r="J321" s="98"/>
      <c r="K321" s="98"/>
      <c r="M321" s="94"/>
      <c r="N321" s="99"/>
      <c r="O321" s="100"/>
      <c r="P321" s="100"/>
    </row>
    <row r="322" spans="1:16" hidden="1" x14ac:dyDescent="0.3">
      <c r="A322" s="98"/>
      <c r="B322" s="98"/>
      <c r="C322" s="98"/>
      <c r="D322" s="98"/>
      <c r="E322" s="98"/>
      <c r="F322" s="98"/>
      <c r="G322" s="112"/>
      <c r="H322" s="98"/>
      <c r="I322" s="98"/>
      <c r="J322" s="98"/>
      <c r="K322" s="98"/>
      <c r="M322" s="94"/>
      <c r="N322" s="99"/>
      <c r="O322" s="100"/>
      <c r="P322" s="100"/>
    </row>
    <row r="323" spans="1:16" hidden="1" x14ac:dyDescent="0.3">
      <c r="A323" s="98"/>
      <c r="B323" s="98"/>
      <c r="C323" s="98"/>
      <c r="D323" s="98"/>
      <c r="E323" s="98"/>
      <c r="F323" s="98"/>
      <c r="G323" s="112"/>
      <c r="H323" s="98"/>
      <c r="I323" s="98"/>
      <c r="J323" s="98"/>
      <c r="K323" s="98"/>
      <c r="M323" s="94"/>
      <c r="N323" s="99"/>
      <c r="O323" s="100"/>
      <c r="P323" s="100"/>
    </row>
    <row r="324" spans="1:16" hidden="1" x14ac:dyDescent="0.3">
      <c r="A324" s="98"/>
      <c r="B324" s="98"/>
      <c r="C324" s="98"/>
      <c r="D324" s="98"/>
      <c r="E324" s="98"/>
      <c r="F324" s="98"/>
      <c r="G324" s="112"/>
      <c r="H324" s="98"/>
      <c r="I324" s="98"/>
      <c r="J324" s="98"/>
      <c r="K324" s="98"/>
      <c r="M324" s="94"/>
      <c r="N324" s="99"/>
      <c r="O324" s="100"/>
      <c r="P324" s="100"/>
    </row>
    <row r="325" spans="1:16" hidden="1" x14ac:dyDescent="0.3">
      <c r="A325" s="98"/>
      <c r="B325" s="98"/>
      <c r="C325" s="98"/>
      <c r="D325" s="98"/>
      <c r="E325" s="98"/>
      <c r="F325" s="98"/>
      <c r="G325" s="112"/>
      <c r="H325" s="98"/>
      <c r="I325" s="98"/>
      <c r="J325" s="98"/>
      <c r="K325" s="98"/>
      <c r="M325" s="94"/>
      <c r="N325" s="99"/>
      <c r="O325" s="100"/>
      <c r="P325" s="100"/>
    </row>
    <row r="326" spans="1:16" hidden="1" x14ac:dyDescent="0.3">
      <c r="A326" s="98"/>
      <c r="B326" s="98"/>
      <c r="C326" s="98"/>
      <c r="D326" s="98"/>
      <c r="E326" s="98"/>
      <c r="F326" s="98"/>
      <c r="G326" s="112"/>
      <c r="H326" s="98"/>
      <c r="I326" s="98"/>
      <c r="J326" s="98"/>
      <c r="K326" s="98"/>
      <c r="M326" s="94"/>
      <c r="N326" s="99"/>
      <c r="O326" s="100"/>
      <c r="P326" s="100"/>
    </row>
    <row r="327" spans="1:16" hidden="1" x14ac:dyDescent="0.3">
      <c r="A327" s="98"/>
      <c r="B327" s="98"/>
      <c r="C327" s="98"/>
      <c r="D327" s="98"/>
      <c r="E327" s="98"/>
      <c r="F327" s="98"/>
      <c r="G327" s="112"/>
      <c r="H327" s="98"/>
      <c r="I327" s="98"/>
      <c r="J327" s="98"/>
      <c r="K327" s="98"/>
      <c r="M327" s="94"/>
      <c r="N327" s="99"/>
      <c r="O327" s="100"/>
      <c r="P327" s="100"/>
    </row>
    <row r="328" spans="1:16" hidden="1" x14ac:dyDescent="0.3">
      <c r="A328" s="98"/>
      <c r="B328" s="98"/>
      <c r="C328" s="98"/>
      <c r="D328" s="98"/>
      <c r="E328" s="98"/>
      <c r="F328" s="98"/>
      <c r="G328" s="112"/>
      <c r="H328" s="98"/>
      <c r="I328" s="98"/>
      <c r="J328" s="98"/>
      <c r="K328" s="98"/>
      <c r="M328" s="94"/>
      <c r="N328" s="99"/>
      <c r="O328" s="100"/>
      <c r="P328" s="100"/>
    </row>
    <row r="329" spans="1:16" hidden="1" x14ac:dyDescent="0.3">
      <c r="A329" s="98"/>
      <c r="B329" s="98"/>
      <c r="C329" s="98"/>
      <c r="D329" s="98"/>
      <c r="E329" s="98"/>
      <c r="F329" s="98"/>
      <c r="G329" s="112"/>
      <c r="H329" s="98"/>
      <c r="I329" s="98"/>
      <c r="J329" s="98"/>
      <c r="K329" s="98"/>
      <c r="M329" s="94"/>
      <c r="N329" s="99"/>
      <c r="O329" s="100"/>
      <c r="P329" s="100"/>
    </row>
    <row r="330" spans="1:16" hidden="1" x14ac:dyDescent="0.3">
      <c r="A330" s="98"/>
      <c r="B330" s="98"/>
      <c r="C330" s="98"/>
      <c r="D330" s="98"/>
      <c r="E330" s="98"/>
      <c r="F330" s="98"/>
      <c r="G330" s="112"/>
      <c r="H330" s="98"/>
      <c r="I330" s="98"/>
      <c r="J330" s="98"/>
      <c r="K330" s="98"/>
      <c r="M330" s="94"/>
      <c r="N330" s="99"/>
      <c r="O330" s="100"/>
      <c r="P330" s="100"/>
    </row>
    <row r="331" spans="1:16" hidden="1" x14ac:dyDescent="0.3">
      <c r="A331" s="98"/>
      <c r="B331" s="98"/>
      <c r="C331" s="98"/>
      <c r="D331" s="98"/>
      <c r="E331" s="98"/>
      <c r="F331" s="98"/>
      <c r="G331" s="112"/>
      <c r="H331" s="98"/>
      <c r="I331" s="98"/>
      <c r="J331" s="98"/>
      <c r="K331" s="98"/>
      <c r="M331" s="94"/>
      <c r="N331" s="99"/>
      <c r="O331" s="100"/>
      <c r="P331" s="100"/>
    </row>
    <row r="332" spans="1:16" hidden="1" x14ac:dyDescent="0.3">
      <c r="A332" s="98"/>
      <c r="B332" s="98"/>
      <c r="C332" s="98"/>
      <c r="D332" s="98"/>
      <c r="E332" s="98"/>
      <c r="F332" s="98"/>
      <c r="G332" s="112"/>
      <c r="H332" s="98"/>
      <c r="I332" s="98"/>
      <c r="J332" s="98"/>
      <c r="K332" s="98"/>
      <c r="M332" s="94"/>
      <c r="N332" s="99"/>
      <c r="O332" s="100"/>
      <c r="P332" s="100"/>
    </row>
    <row r="333" spans="1:16" hidden="1" x14ac:dyDescent="0.3">
      <c r="A333" s="98"/>
      <c r="B333" s="98"/>
      <c r="C333" s="98"/>
      <c r="D333" s="98"/>
      <c r="E333" s="98"/>
      <c r="F333" s="98"/>
      <c r="G333" s="112"/>
      <c r="H333" s="98"/>
      <c r="I333" s="98"/>
      <c r="J333" s="98"/>
      <c r="K333" s="98"/>
      <c r="M333" s="94"/>
      <c r="N333" s="99"/>
      <c r="O333" s="100"/>
      <c r="P333" s="100"/>
    </row>
    <row r="334" spans="1:16" hidden="1" x14ac:dyDescent="0.3">
      <c r="A334" s="98"/>
      <c r="B334" s="98"/>
      <c r="C334" s="98"/>
      <c r="D334" s="98"/>
      <c r="E334" s="98"/>
      <c r="F334" s="98"/>
      <c r="G334" s="112"/>
      <c r="H334" s="98"/>
      <c r="I334" s="98"/>
      <c r="J334" s="98"/>
      <c r="K334" s="98"/>
      <c r="M334" s="94"/>
      <c r="N334" s="99"/>
      <c r="O334" s="100"/>
      <c r="P334" s="100"/>
    </row>
    <row r="335" spans="1:16" hidden="1" x14ac:dyDescent="0.3">
      <c r="A335" s="98"/>
      <c r="B335" s="98"/>
      <c r="C335" s="98"/>
      <c r="D335" s="98"/>
      <c r="E335" s="98"/>
      <c r="F335" s="98"/>
      <c r="G335" s="112"/>
      <c r="H335" s="98"/>
      <c r="I335" s="98"/>
      <c r="J335" s="98"/>
      <c r="K335" s="98"/>
      <c r="M335" s="94"/>
      <c r="N335" s="99"/>
      <c r="O335" s="100"/>
      <c r="P335" s="100"/>
    </row>
    <row r="336" spans="1:16" hidden="1" x14ac:dyDescent="0.3">
      <c r="A336" s="98"/>
      <c r="B336" s="98"/>
      <c r="C336" s="98"/>
      <c r="D336" s="98"/>
      <c r="E336" s="98"/>
      <c r="F336" s="98"/>
      <c r="G336" s="112"/>
      <c r="H336" s="98"/>
      <c r="I336" s="98"/>
      <c r="J336" s="98"/>
      <c r="K336" s="98"/>
      <c r="M336" s="94"/>
      <c r="N336" s="99"/>
      <c r="O336" s="100"/>
      <c r="P336" s="100"/>
    </row>
    <row r="337" spans="1:16" hidden="1" x14ac:dyDescent="0.3">
      <c r="A337" s="98"/>
      <c r="B337" s="98"/>
      <c r="C337" s="98"/>
      <c r="D337" s="98"/>
      <c r="E337" s="98"/>
      <c r="F337" s="98"/>
      <c r="G337" s="112"/>
      <c r="H337" s="98"/>
      <c r="I337" s="98"/>
      <c r="J337" s="98"/>
      <c r="K337" s="98"/>
      <c r="M337" s="94"/>
      <c r="N337" s="99"/>
      <c r="O337" s="100"/>
      <c r="P337" s="100"/>
    </row>
    <row r="338" spans="1:16" hidden="1" x14ac:dyDescent="0.3">
      <c r="A338" s="98"/>
      <c r="B338" s="98"/>
      <c r="C338" s="98"/>
      <c r="D338" s="98"/>
      <c r="E338" s="98"/>
      <c r="F338" s="98"/>
      <c r="G338" s="112"/>
      <c r="H338" s="98"/>
      <c r="I338" s="98"/>
      <c r="J338" s="98"/>
      <c r="K338" s="98"/>
      <c r="M338" s="94"/>
      <c r="N338" s="99"/>
      <c r="O338" s="100"/>
      <c r="P338" s="100"/>
    </row>
    <row r="339" spans="1:16" hidden="1" x14ac:dyDescent="0.3">
      <c r="A339" s="98"/>
      <c r="B339" s="98"/>
      <c r="C339" s="98"/>
      <c r="D339" s="98"/>
      <c r="E339" s="98"/>
      <c r="F339" s="98"/>
      <c r="G339" s="112"/>
      <c r="H339" s="98"/>
      <c r="I339" s="98"/>
      <c r="J339" s="98"/>
      <c r="K339" s="98"/>
      <c r="M339" s="94"/>
      <c r="N339" s="99"/>
      <c r="O339" s="100"/>
      <c r="P339" s="100"/>
    </row>
    <row r="340" spans="1:16" hidden="1" x14ac:dyDescent="0.3">
      <c r="A340" s="98"/>
      <c r="B340" s="98"/>
      <c r="C340" s="98"/>
      <c r="D340" s="98"/>
      <c r="E340" s="98"/>
      <c r="F340" s="98"/>
      <c r="G340" s="112"/>
      <c r="H340" s="98"/>
      <c r="I340" s="98"/>
      <c r="J340" s="98"/>
      <c r="K340" s="98"/>
      <c r="M340" s="94"/>
      <c r="N340" s="99"/>
      <c r="O340" s="100"/>
      <c r="P340" s="100"/>
    </row>
    <row r="341" spans="1:16" hidden="1" x14ac:dyDescent="0.3">
      <c r="A341" s="98"/>
      <c r="B341" s="98"/>
      <c r="C341" s="98"/>
      <c r="D341" s="98"/>
      <c r="E341" s="98"/>
      <c r="F341" s="98"/>
      <c r="G341" s="112"/>
      <c r="H341" s="98"/>
      <c r="I341" s="98"/>
      <c r="J341" s="98"/>
      <c r="K341" s="98"/>
      <c r="M341" s="94"/>
      <c r="N341" s="99"/>
      <c r="O341" s="100"/>
      <c r="P341" s="100"/>
    </row>
    <row r="342" spans="1:16" hidden="1" x14ac:dyDescent="0.3">
      <c r="A342" s="98"/>
      <c r="B342" s="98"/>
      <c r="C342" s="98"/>
      <c r="D342" s="98"/>
      <c r="E342" s="98"/>
      <c r="F342" s="98"/>
      <c r="G342" s="112"/>
      <c r="H342" s="98"/>
      <c r="I342" s="98"/>
      <c r="J342" s="98"/>
      <c r="K342" s="98"/>
      <c r="M342" s="94"/>
      <c r="N342" s="99"/>
      <c r="O342" s="100"/>
      <c r="P342" s="100"/>
    </row>
    <row r="343" spans="1:16" hidden="1" x14ac:dyDescent="0.3">
      <c r="A343" s="98"/>
      <c r="B343" s="98"/>
      <c r="C343" s="98"/>
      <c r="D343" s="98"/>
      <c r="E343" s="98"/>
      <c r="F343" s="98"/>
      <c r="G343" s="112"/>
      <c r="H343" s="98"/>
      <c r="I343" s="98"/>
      <c r="J343" s="98"/>
      <c r="K343" s="98"/>
      <c r="M343" s="94"/>
      <c r="N343" s="99"/>
      <c r="O343" s="100"/>
      <c r="P343" s="100"/>
    </row>
    <row r="344" spans="1:16" hidden="1" x14ac:dyDescent="0.3">
      <c r="A344" s="98"/>
      <c r="B344" s="98"/>
      <c r="C344" s="98"/>
      <c r="D344" s="98"/>
      <c r="E344" s="98"/>
      <c r="F344" s="98"/>
      <c r="G344" s="112"/>
      <c r="H344" s="98"/>
      <c r="I344" s="98"/>
      <c r="J344" s="98"/>
      <c r="K344" s="98"/>
      <c r="M344" s="94"/>
      <c r="N344" s="99"/>
      <c r="O344" s="100"/>
      <c r="P344" s="100"/>
    </row>
    <row r="345" spans="1:16" hidden="1" x14ac:dyDescent="0.3">
      <c r="A345" s="98"/>
      <c r="B345" s="98"/>
      <c r="C345" s="98"/>
      <c r="D345" s="98"/>
      <c r="E345" s="98"/>
      <c r="F345" s="98"/>
      <c r="G345" s="112"/>
      <c r="H345" s="98"/>
      <c r="I345" s="98"/>
      <c r="J345" s="98"/>
      <c r="K345" s="98"/>
      <c r="M345" s="94"/>
      <c r="N345" s="99"/>
      <c r="O345" s="100"/>
      <c r="P345" s="100"/>
    </row>
    <row r="346" spans="1:16" hidden="1" x14ac:dyDescent="0.3">
      <c r="A346" s="98"/>
      <c r="B346" s="98"/>
      <c r="C346" s="98"/>
      <c r="D346" s="98"/>
      <c r="E346" s="98"/>
      <c r="F346" s="98"/>
      <c r="G346" s="112"/>
      <c r="H346" s="98"/>
      <c r="I346" s="98"/>
      <c r="J346" s="98"/>
      <c r="K346" s="98"/>
      <c r="M346" s="94"/>
      <c r="N346" s="99"/>
      <c r="O346" s="100"/>
      <c r="P346" s="100"/>
    </row>
    <row r="347" spans="1:16" hidden="1" x14ac:dyDescent="0.3">
      <c r="A347" s="98"/>
      <c r="B347" s="98"/>
      <c r="C347" s="98"/>
      <c r="D347" s="98"/>
      <c r="E347" s="98"/>
      <c r="F347" s="98"/>
      <c r="G347" s="112"/>
      <c r="H347" s="98"/>
      <c r="I347" s="98"/>
      <c r="J347" s="98"/>
      <c r="K347" s="98"/>
      <c r="M347" s="94"/>
      <c r="N347" s="99"/>
      <c r="O347" s="100"/>
      <c r="P347" s="100"/>
    </row>
    <row r="348" spans="1:16" hidden="1" x14ac:dyDescent="0.3">
      <c r="A348" s="98"/>
      <c r="B348" s="98"/>
      <c r="C348" s="98"/>
      <c r="D348" s="98"/>
      <c r="E348" s="98"/>
      <c r="F348" s="98"/>
      <c r="G348" s="112"/>
      <c r="H348" s="98"/>
      <c r="I348" s="98"/>
      <c r="J348" s="98"/>
      <c r="K348" s="98"/>
      <c r="M348" s="94"/>
      <c r="N348" s="99"/>
      <c r="O348" s="100"/>
      <c r="P348" s="100"/>
    </row>
    <row r="349" spans="1:16" hidden="1" x14ac:dyDescent="0.3">
      <c r="A349" s="98"/>
      <c r="B349" s="98"/>
      <c r="C349" s="98"/>
      <c r="D349" s="98"/>
      <c r="E349" s="98"/>
      <c r="F349" s="98"/>
      <c r="G349" s="112"/>
      <c r="H349" s="98"/>
      <c r="I349" s="98"/>
      <c r="J349" s="98"/>
      <c r="K349" s="98"/>
      <c r="M349" s="94"/>
      <c r="N349" s="99"/>
      <c r="O349" s="100"/>
      <c r="P349" s="100"/>
    </row>
    <row r="350" spans="1:16" hidden="1" x14ac:dyDescent="0.3">
      <c r="A350" s="98"/>
      <c r="B350" s="98"/>
      <c r="C350" s="98"/>
      <c r="D350" s="98"/>
      <c r="E350" s="98"/>
      <c r="F350" s="98"/>
      <c r="G350" s="112"/>
      <c r="H350" s="98"/>
      <c r="I350" s="98"/>
      <c r="J350" s="98"/>
      <c r="K350" s="98"/>
      <c r="M350" s="94"/>
      <c r="N350" s="99"/>
      <c r="O350" s="100"/>
      <c r="P350" s="100"/>
    </row>
    <row r="351" spans="1:16" hidden="1" x14ac:dyDescent="0.3">
      <c r="A351" s="98"/>
      <c r="B351" s="98"/>
      <c r="C351" s="98"/>
      <c r="D351" s="98"/>
      <c r="E351" s="98"/>
      <c r="F351" s="98"/>
      <c r="G351" s="112"/>
      <c r="H351" s="98"/>
      <c r="I351" s="98"/>
      <c r="J351" s="98"/>
      <c r="K351" s="98"/>
      <c r="M351" s="94"/>
      <c r="N351" s="99"/>
      <c r="O351" s="100"/>
      <c r="P351" s="100"/>
    </row>
    <row r="352" spans="1:16" hidden="1" x14ac:dyDescent="0.3">
      <c r="A352" s="98"/>
      <c r="B352" s="98"/>
      <c r="C352" s="98"/>
      <c r="D352" s="98"/>
      <c r="E352" s="98"/>
      <c r="F352" s="98"/>
      <c r="G352" s="112"/>
      <c r="H352" s="98"/>
      <c r="I352" s="98"/>
      <c r="J352" s="98"/>
      <c r="K352" s="98"/>
      <c r="M352" s="94"/>
      <c r="N352" s="99"/>
      <c r="O352" s="100"/>
      <c r="P352" s="100"/>
    </row>
    <row r="353" spans="1:16" hidden="1" x14ac:dyDescent="0.3">
      <c r="A353" s="98"/>
      <c r="B353" s="98"/>
      <c r="C353" s="98"/>
      <c r="D353" s="98"/>
      <c r="E353" s="98"/>
      <c r="F353" s="98"/>
      <c r="G353" s="112"/>
      <c r="H353" s="98"/>
      <c r="I353" s="98"/>
      <c r="J353" s="98"/>
      <c r="K353" s="98"/>
      <c r="M353" s="94"/>
      <c r="N353" s="99"/>
      <c r="O353" s="100"/>
      <c r="P353" s="100"/>
    </row>
    <row r="354" spans="1:16" hidden="1" x14ac:dyDescent="0.3">
      <c r="A354" s="98"/>
      <c r="B354" s="98"/>
      <c r="C354" s="98"/>
      <c r="D354" s="98"/>
      <c r="E354" s="98"/>
      <c r="F354" s="98"/>
      <c r="G354" s="112"/>
      <c r="H354" s="98"/>
      <c r="I354" s="98"/>
      <c r="J354" s="98"/>
      <c r="K354" s="98"/>
      <c r="M354" s="94"/>
      <c r="N354" s="99"/>
      <c r="O354" s="100"/>
      <c r="P354" s="100"/>
    </row>
    <row r="355" spans="1:16" hidden="1" x14ac:dyDescent="0.3">
      <c r="A355" s="98"/>
      <c r="B355" s="98"/>
      <c r="C355" s="98"/>
      <c r="D355" s="98"/>
      <c r="E355" s="98"/>
      <c r="F355" s="98"/>
      <c r="G355" s="112"/>
      <c r="H355" s="98"/>
      <c r="I355" s="98"/>
      <c r="J355" s="98"/>
      <c r="K355" s="98"/>
      <c r="M355" s="94"/>
      <c r="N355" s="99"/>
      <c r="O355" s="100"/>
      <c r="P355" s="100"/>
    </row>
    <row r="356" spans="1:16" hidden="1" x14ac:dyDescent="0.3">
      <c r="A356" s="98"/>
      <c r="B356" s="98"/>
      <c r="C356" s="98"/>
      <c r="D356" s="98"/>
      <c r="E356" s="98"/>
      <c r="F356" s="98"/>
      <c r="G356" s="112"/>
      <c r="H356" s="98"/>
      <c r="I356" s="98"/>
      <c r="J356" s="98"/>
      <c r="K356" s="98"/>
      <c r="M356" s="94"/>
      <c r="N356" s="99"/>
      <c r="O356" s="100"/>
      <c r="P356" s="100"/>
    </row>
    <row r="357" spans="1:16" hidden="1" x14ac:dyDescent="0.3">
      <c r="A357" s="98"/>
      <c r="B357" s="98"/>
      <c r="C357" s="98"/>
      <c r="D357" s="98"/>
      <c r="E357" s="98"/>
      <c r="F357" s="98"/>
      <c r="G357" s="112"/>
      <c r="H357" s="98"/>
      <c r="I357" s="98"/>
      <c r="J357" s="98"/>
      <c r="K357" s="98"/>
      <c r="M357" s="94"/>
      <c r="N357" s="99"/>
      <c r="O357" s="100"/>
      <c r="P357" s="100"/>
    </row>
    <row r="358" spans="1:16" hidden="1" x14ac:dyDescent="0.3">
      <c r="A358" s="98"/>
      <c r="B358" s="98"/>
      <c r="C358" s="98"/>
      <c r="D358" s="98"/>
      <c r="E358" s="98"/>
      <c r="F358" s="98"/>
      <c r="G358" s="112"/>
      <c r="H358" s="98"/>
      <c r="I358" s="98"/>
      <c r="J358" s="98"/>
      <c r="K358" s="98"/>
      <c r="M358" s="94"/>
      <c r="N358" s="99"/>
      <c r="O358" s="100"/>
      <c r="P358" s="100"/>
    </row>
    <row r="359" spans="1:16" hidden="1" x14ac:dyDescent="0.3">
      <c r="A359" s="98"/>
      <c r="B359" s="98"/>
      <c r="C359" s="98"/>
      <c r="D359" s="98"/>
      <c r="E359" s="98"/>
      <c r="F359" s="98"/>
      <c r="G359" s="112"/>
      <c r="H359" s="98"/>
      <c r="I359" s="98"/>
      <c r="J359" s="98"/>
      <c r="K359" s="98"/>
      <c r="M359" s="94"/>
      <c r="N359" s="99"/>
      <c r="O359" s="100"/>
      <c r="P359" s="100"/>
    </row>
    <row r="360" spans="1:16" hidden="1" x14ac:dyDescent="0.3">
      <c r="A360" s="98"/>
      <c r="B360" s="98"/>
      <c r="C360" s="98"/>
      <c r="D360" s="98"/>
      <c r="E360" s="98"/>
      <c r="F360" s="98"/>
      <c r="G360" s="112"/>
      <c r="H360" s="98"/>
      <c r="I360" s="98"/>
      <c r="J360" s="98"/>
      <c r="K360" s="98"/>
      <c r="M360" s="94"/>
      <c r="N360" s="99"/>
      <c r="O360" s="100"/>
      <c r="P360" s="100"/>
    </row>
    <row r="361" spans="1:16" hidden="1" x14ac:dyDescent="0.3">
      <c r="A361" s="98"/>
      <c r="B361" s="98"/>
      <c r="C361" s="98"/>
      <c r="D361" s="98"/>
      <c r="E361" s="98"/>
      <c r="F361" s="98"/>
      <c r="G361" s="112"/>
      <c r="H361" s="98"/>
      <c r="I361" s="98"/>
      <c r="J361" s="98"/>
      <c r="K361" s="98"/>
      <c r="M361" s="94"/>
      <c r="N361" s="99"/>
      <c r="O361" s="100"/>
      <c r="P361" s="100"/>
    </row>
    <row r="362" spans="1:16" hidden="1" x14ac:dyDescent="0.3">
      <c r="A362" s="98"/>
      <c r="B362" s="98"/>
      <c r="C362" s="98"/>
      <c r="D362" s="98"/>
      <c r="E362" s="98"/>
      <c r="F362" s="98"/>
      <c r="G362" s="112"/>
      <c r="H362" s="98"/>
      <c r="I362" s="98"/>
      <c r="J362" s="98"/>
      <c r="K362" s="98"/>
      <c r="M362" s="94"/>
      <c r="N362" s="99"/>
      <c r="O362" s="100"/>
      <c r="P362" s="100"/>
    </row>
    <row r="363" spans="1:16" hidden="1" x14ac:dyDescent="0.3">
      <c r="A363" s="98"/>
      <c r="B363" s="98"/>
      <c r="C363" s="98"/>
      <c r="D363" s="98"/>
      <c r="E363" s="98"/>
      <c r="F363" s="98"/>
      <c r="G363" s="112"/>
      <c r="H363" s="98"/>
      <c r="I363" s="98"/>
      <c r="J363" s="98"/>
      <c r="K363" s="98"/>
      <c r="M363" s="94"/>
      <c r="N363" s="99"/>
      <c r="O363" s="100"/>
      <c r="P363" s="100"/>
    </row>
    <row r="364" spans="1:16" hidden="1" x14ac:dyDescent="0.3">
      <c r="A364" s="98"/>
      <c r="B364" s="98"/>
      <c r="C364" s="98"/>
      <c r="D364" s="98"/>
      <c r="E364" s="98"/>
      <c r="F364" s="98"/>
      <c r="G364" s="112"/>
      <c r="H364" s="98"/>
      <c r="I364" s="98"/>
      <c r="J364" s="98"/>
      <c r="K364" s="98"/>
      <c r="M364" s="94"/>
      <c r="N364" s="99"/>
      <c r="O364" s="100"/>
      <c r="P364" s="100"/>
    </row>
    <row r="365" spans="1:16" hidden="1" x14ac:dyDescent="0.3">
      <c r="A365" s="98"/>
      <c r="B365" s="98"/>
      <c r="C365" s="98"/>
      <c r="D365" s="98"/>
      <c r="E365" s="98"/>
      <c r="F365" s="98"/>
      <c r="G365" s="112"/>
      <c r="H365" s="98"/>
      <c r="I365" s="98"/>
      <c r="J365" s="98"/>
      <c r="K365" s="98"/>
      <c r="M365" s="94"/>
      <c r="N365" s="99"/>
      <c r="O365" s="100"/>
      <c r="P365" s="100"/>
    </row>
    <row r="366" spans="1:16" hidden="1" x14ac:dyDescent="0.3">
      <c r="A366" s="98"/>
      <c r="B366" s="98"/>
      <c r="C366" s="98"/>
      <c r="D366" s="98"/>
      <c r="E366" s="98"/>
      <c r="F366" s="98"/>
      <c r="G366" s="112"/>
      <c r="H366" s="98"/>
      <c r="I366" s="98"/>
      <c r="J366" s="98"/>
      <c r="K366" s="98"/>
      <c r="M366" s="94"/>
      <c r="N366" s="99"/>
      <c r="O366" s="100"/>
      <c r="P366" s="100"/>
    </row>
    <row r="367" spans="1:16" hidden="1" x14ac:dyDescent="0.3">
      <c r="A367" s="98"/>
      <c r="B367" s="98"/>
      <c r="C367" s="98"/>
      <c r="D367" s="98"/>
      <c r="E367" s="98"/>
      <c r="F367" s="98"/>
      <c r="G367" s="112"/>
      <c r="H367" s="98"/>
      <c r="I367" s="98"/>
      <c r="J367" s="98"/>
      <c r="K367" s="98"/>
      <c r="M367" s="94"/>
      <c r="N367" s="99"/>
      <c r="O367" s="100"/>
      <c r="P367" s="100"/>
    </row>
    <row r="368" spans="1:16" hidden="1" x14ac:dyDescent="0.3">
      <c r="A368" s="98"/>
      <c r="B368" s="98"/>
      <c r="C368" s="98"/>
      <c r="D368" s="98"/>
      <c r="E368" s="98"/>
      <c r="F368" s="98"/>
      <c r="G368" s="112"/>
      <c r="H368" s="98"/>
      <c r="I368" s="98"/>
      <c r="J368" s="98"/>
      <c r="K368" s="98"/>
      <c r="M368" s="94"/>
      <c r="N368" s="99"/>
      <c r="O368" s="100"/>
      <c r="P368" s="100"/>
    </row>
    <row r="369" spans="1:16" hidden="1" x14ac:dyDescent="0.3">
      <c r="A369" s="98"/>
      <c r="B369" s="98"/>
      <c r="C369" s="98"/>
      <c r="D369" s="98"/>
      <c r="E369" s="98"/>
      <c r="F369" s="98"/>
      <c r="G369" s="112"/>
      <c r="H369" s="98"/>
      <c r="I369" s="98"/>
      <c r="J369" s="98"/>
      <c r="K369" s="98"/>
      <c r="M369" s="94"/>
      <c r="N369" s="99"/>
      <c r="O369" s="100"/>
      <c r="P369" s="100"/>
    </row>
    <row r="370" spans="1:16" hidden="1" x14ac:dyDescent="0.3">
      <c r="A370" s="98"/>
      <c r="B370" s="98"/>
      <c r="C370" s="98"/>
      <c r="D370" s="98"/>
      <c r="E370" s="98"/>
      <c r="F370" s="98"/>
      <c r="G370" s="112"/>
      <c r="H370" s="98"/>
      <c r="I370" s="98"/>
      <c r="J370" s="98"/>
      <c r="K370" s="98"/>
      <c r="M370" s="94"/>
      <c r="N370" s="99"/>
      <c r="O370" s="100"/>
      <c r="P370" s="100"/>
    </row>
    <row r="371" spans="1:16" hidden="1" x14ac:dyDescent="0.3">
      <c r="A371" s="98"/>
      <c r="B371" s="98"/>
      <c r="C371" s="98"/>
      <c r="D371" s="98"/>
      <c r="E371" s="98"/>
      <c r="F371" s="98"/>
      <c r="G371" s="112"/>
      <c r="H371" s="98"/>
      <c r="I371" s="98"/>
      <c r="J371" s="98"/>
      <c r="K371" s="98"/>
      <c r="M371" s="94"/>
      <c r="N371" s="99"/>
      <c r="O371" s="100"/>
      <c r="P371" s="100"/>
    </row>
    <row r="372" spans="1:16" hidden="1" x14ac:dyDescent="0.3">
      <c r="A372" s="98"/>
      <c r="B372" s="98"/>
      <c r="C372" s="98"/>
      <c r="D372" s="98"/>
      <c r="E372" s="98"/>
      <c r="F372" s="98"/>
      <c r="G372" s="112"/>
      <c r="H372" s="98"/>
      <c r="I372" s="98"/>
      <c r="J372" s="98"/>
      <c r="K372" s="98"/>
      <c r="M372" s="94"/>
      <c r="N372" s="99"/>
      <c r="O372" s="100"/>
      <c r="P372" s="100"/>
    </row>
    <row r="373" spans="1:16" hidden="1" x14ac:dyDescent="0.3">
      <c r="A373" s="98"/>
      <c r="B373" s="98"/>
      <c r="C373" s="98"/>
      <c r="D373" s="98"/>
      <c r="E373" s="98"/>
      <c r="F373" s="98"/>
      <c r="G373" s="112"/>
      <c r="H373" s="98"/>
      <c r="I373" s="98"/>
      <c r="J373" s="98"/>
      <c r="K373" s="98"/>
      <c r="M373" s="94"/>
      <c r="N373" s="99"/>
      <c r="O373" s="100"/>
      <c r="P373" s="100"/>
    </row>
    <row r="374" spans="1:16" hidden="1" x14ac:dyDescent="0.3">
      <c r="A374" s="98"/>
      <c r="B374" s="98"/>
      <c r="C374" s="98"/>
      <c r="D374" s="98"/>
      <c r="E374" s="98"/>
      <c r="F374" s="98"/>
      <c r="G374" s="112"/>
      <c r="H374" s="98"/>
      <c r="I374" s="98"/>
      <c r="J374" s="98"/>
      <c r="K374" s="98"/>
      <c r="M374" s="94"/>
      <c r="N374" s="99"/>
      <c r="O374" s="100"/>
      <c r="P374" s="100"/>
    </row>
    <row r="375" spans="1:16" hidden="1" x14ac:dyDescent="0.3">
      <c r="A375" s="98"/>
      <c r="B375" s="98"/>
      <c r="C375" s="98"/>
      <c r="D375" s="98"/>
      <c r="E375" s="98"/>
      <c r="F375" s="98"/>
      <c r="G375" s="112"/>
      <c r="H375" s="98"/>
      <c r="I375" s="98"/>
      <c r="J375" s="98"/>
      <c r="K375" s="98"/>
      <c r="M375" s="94"/>
      <c r="N375" s="99"/>
      <c r="O375" s="100"/>
      <c r="P375" s="100"/>
    </row>
    <row r="376" spans="1:16" hidden="1" x14ac:dyDescent="0.3">
      <c r="A376" s="98"/>
      <c r="B376" s="98"/>
      <c r="C376" s="98"/>
      <c r="D376" s="98"/>
      <c r="E376" s="98"/>
      <c r="F376" s="98"/>
      <c r="G376" s="112"/>
      <c r="H376" s="98"/>
      <c r="I376" s="98"/>
      <c r="J376" s="98"/>
      <c r="K376" s="98"/>
      <c r="M376" s="94"/>
      <c r="N376" s="99"/>
      <c r="O376" s="100"/>
      <c r="P376" s="100"/>
    </row>
    <row r="377" spans="1:16" hidden="1" x14ac:dyDescent="0.3">
      <c r="A377" s="98"/>
      <c r="B377" s="98"/>
      <c r="C377" s="98"/>
      <c r="D377" s="98"/>
      <c r="E377" s="98"/>
      <c r="F377" s="98"/>
      <c r="G377" s="112"/>
      <c r="H377" s="98"/>
      <c r="I377" s="98"/>
      <c r="J377" s="98"/>
      <c r="K377" s="98"/>
      <c r="M377" s="94"/>
      <c r="N377" s="99"/>
      <c r="O377" s="100"/>
      <c r="P377" s="100"/>
    </row>
    <row r="378" spans="1:16" hidden="1" x14ac:dyDescent="0.3">
      <c r="A378" s="98"/>
      <c r="B378" s="98"/>
      <c r="C378" s="98"/>
      <c r="D378" s="98"/>
      <c r="E378" s="98"/>
      <c r="F378" s="98"/>
      <c r="G378" s="112"/>
      <c r="H378" s="98"/>
      <c r="I378" s="98"/>
      <c r="J378" s="98"/>
      <c r="K378" s="98"/>
      <c r="M378" s="94"/>
      <c r="N378" s="99"/>
      <c r="O378" s="100"/>
      <c r="P378" s="100"/>
    </row>
    <row r="379" spans="1:16" hidden="1" x14ac:dyDescent="0.3">
      <c r="A379" s="98"/>
      <c r="B379" s="98"/>
      <c r="C379" s="98"/>
      <c r="D379" s="98"/>
      <c r="E379" s="98"/>
      <c r="F379" s="98"/>
      <c r="G379" s="112"/>
      <c r="H379" s="98"/>
      <c r="I379" s="98"/>
      <c r="J379" s="98"/>
      <c r="K379" s="98"/>
      <c r="M379" s="94"/>
      <c r="N379" s="99"/>
      <c r="O379" s="100"/>
      <c r="P379" s="100"/>
    </row>
    <row r="380" spans="1:16" hidden="1" x14ac:dyDescent="0.3">
      <c r="A380" s="98"/>
      <c r="B380" s="98"/>
      <c r="C380" s="98"/>
      <c r="D380" s="98"/>
      <c r="E380" s="98"/>
      <c r="F380" s="98"/>
      <c r="G380" s="112"/>
      <c r="H380" s="98"/>
      <c r="I380" s="98"/>
      <c r="J380" s="98"/>
      <c r="K380" s="98"/>
      <c r="M380" s="94"/>
      <c r="N380" s="99"/>
      <c r="O380" s="100"/>
      <c r="P380" s="100"/>
    </row>
    <row r="381" spans="1:16" hidden="1" x14ac:dyDescent="0.3">
      <c r="A381" s="98"/>
      <c r="B381" s="98"/>
      <c r="C381" s="98"/>
      <c r="D381" s="98"/>
      <c r="E381" s="98"/>
      <c r="F381" s="98"/>
      <c r="G381" s="112"/>
      <c r="H381" s="98"/>
      <c r="I381" s="98"/>
      <c r="J381" s="98"/>
      <c r="K381" s="98"/>
      <c r="M381" s="94"/>
      <c r="N381" s="99"/>
      <c r="O381" s="100"/>
      <c r="P381" s="100"/>
    </row>
    <row r="382" spans="1:16" hidden="1" x14ac:dyDescent="0.3">
      <c r="A382" s="98"/>
      <c r="B382" s="98"/>
      <c r="C382" s="98"/>
      <c r="D382" s="98"/>
      <c r="E382" s="98"/>
      <c r="F382" s="98"/>
      <c r="G382" s="112"/>
      <c r="H382" s="98"/>
      <c r="I382" s="98"/>
      <c r="J382" s="98"/>
      <c r="K382" s="98"/>
      <c r="M382" s="94"/>
      <c r="N382" s="99"/>
      <c r="O382" s="100"/>
      <c r="P382" s="100"/>
    </row>
    <row r="383" spans="1:16" hidden="1" x14ac:dyDescent="0.3">
      <c r="A383" s="98"/>
      <c r="B383" s="98"/>
      <c r="C383" s="98"/>
      <c r="D383" s="98"/>
      <c r="E383" s="98"/>
      <c r="F383" s="98"/>
      <c r="G383" s="98"/>
      <c r="H383" s="98"/>
      <c r="I383" s="98"/>
      <c r="J383" s="98"/>
      <c r="K383" s="98"/>
      <c r="M383" s="94"/>
      <c r="N383" s="99"/>
      <c r="O383" s="100"/>
      <c r="P383" s="100"/>
    </row>
    <row r="384" spans="1:16" hidden="1" x14ac:dyDescent="0.3">
      <c r="A384" s="98"/>
      <c r="B384" s="98"/>
      <c r="C384" s="98"/>
      <c r="D384" s="98"/>
      <c r="E384" s="98"/>
      <c r="F384" s="98"/>
      <c r="G384" s="98"/>
      <c r="H384" s="98"/>
      <c r="I384" s="98"/>
      <c r="J384" s="98"/>
      <c r="K384" s="98"/>
      <c r="M384" s="94"/>
      <c r="N384" s="99"/>
      <c r="O384" s="100"/>
      <c r="P384" s="100"/>
    </row>
  </sheetData>
  <sheetProtection algorithmName="SHA-512" hashValue="OCCczSHFugP1U85rg74LnpXfX8/ZHnLqFAAnlpjnBfE2h7avKUhmE4iBQlPc3KXUrf69a9LoQlDVlXLimRPslQ==" saltValue="/zxSuUIeUrsyK6eWFSfeSQ==" spinCount="100000" sheet="1" selectLockedCells="1"/>
  <mergeCells count="47">
    <mergeCell ref="B37:B40"/>
    <mergeCell ref="E37:F37"/>
    <mergeCell ref="E38:F38"/>
    <mergeCell ref="E39:F39"/>
    <mergeCell ref="E40:F40"/>
    <mergeCell ref="B43:B46"/>
    <mergeCell ref="E43:F43"/>
    <mergeCell ref="E44:F44"/>
    <mergeCell ref="E45:F45"/>
    <mergeCell ref="E46:F46"/>
    <mergeCell ref="B25:B28"/>
    <mergeCell ref="E25:F25"/>
    <mergeCell ref="E26:F26"/>
    <mergeCell ref="E27:F27"/>
    <mergeCell ref="E28:F28"/>
    <mergeCell ref="B31:B34"/>
    <mergeCell ref="E31:F31"/>
    <mergeCell ref="E32:F32"/>
    <mergeCell ref="E33:F33"/>
    <mergeCell ref="E34:F34"/>
    <mergeCell ref="E24:F24"/>
    <mergeCell ref="B19:F19"/>
    <mergeCell ref="G19:H19"/>
    <mergeCell ref="I19:J19"/>
    <mergeCell ref="B20:F20"/>
    <mergeCell ref="G20:H20"/>
    <mergeCell ref="I20:J20"/>
    <mergeCell ref="B21:F21"/>
    <mergeCell ref="G21:H21"/>
    <mergeCell ref="I21:J21"/>
    <mergeCell ref="D23:I23"/>
    <mergeCell ref="B17:F17"/>
    <mergeCell ref="G17:H17"/>
    <mergeCell ref="I17:J17"/>
    <mergeCell ref="B18:F18"/>
    <mergeCell ref="G18:H18"/>
    <mergeCell ref="I18:J18"/>
    <mergeCell ref="B2:K2"/>
    <mergeCell ref="D5:K5"/>
    <mergeCell ref="B16:F16"/>
    <mergeCell ref="G16:H16"/>
    <mergeCell ref="I16:J16"/>
    <mergeCell ref="D8:E8"/>
    <mergeCell ref="D6:E6"/>
    <mergeCell ref="D7:E7"/>
    <mergeCell ref="H4:I4"/>
    <mergeCell ref="D4:E4"/>
  </mergeCells>
  <conditionalFormatting sqref="B12 K15">
    <cfRule type="expression" dxfId="43" priority="72">
      <formula>"$Q$7&gt;0"</formula>
    </cfRule>
  </conditionalFormatting>
  <conditionalFormatting sqref="K12">
    <cfRule type="expression" dxfId="42" priority="70">
      <formula>$K$14=0</formula>
    </cfRule>
    <cfRule type="expression" dxfId="41" priority="71">
      <formula>$K$14&gt;=1</formula>
    </cfRule>
  </conditionalFormatting>
  <conditionalFormatting sqref="B13">
    <cfRule type="expression" dxfId="40" priority="68">
      <formula>"$Q$7&gt;0"</formula>
    </cfRule>
  </conditionalFormatting>
  <conditionalFormatting sqref="K13">
    <cfRule type="containsBlanks" priority="52">
      <formula>LEN(TRIM(K13))=0</formula>
    </cfRule>
    <cfRule type="expression" dxfId="39" priority="66">
      <formula>$K$13="ja"</formula>
    </cfRule>
    <cfRule type="expression" dxfId="38" priority="67">
      <formula>$K$13="Nee"</formula>
    </cfRule>
  </conditionalFormatting>
  <conditionalFormatting sqref="K17">
    <cfRule type="expression" dxfId="37" priority="12">
      <formula>$K$17="ja"</formula>
    </cfRule>
    <cfRule type="expression" dxfId="36" priority="60">
      <formula>$K$50&lt;$G$17</formula>
    </cfRule>
    <cfRule type="expression" dxfId="35" priority="61">
      <formula>$K$50&lt;$I$17</formula>
    </cfRule>
  </conditionalFormatting>
  <conditionalFormatting sqref="K19">
    <cfRule type="expression" dxfId="34" priority="11">
      <formula>$K$19="ja"</formula>
    </cfRule>
    <cfRule type="expression" dxfId="33" priority="56">
      <formula>AND($G$19&lt;&gt;"-",$J$50&lt;$G$19)</formula>
    </cfRule>
    <cfRule type="expression" dxfId="32" priority="57">
      <formula>AND($I$19&lt;&gt;"-",$J$50&lt;$I$19)</formula>
    </cfRule>
  </conditionalFormatting>
  <conditionalFormatting sqref="K21">
    <cfRule type="expression" dxfId="31" priority="10">
      <formula>$K$21="ja"</formula>
    </cfRule>
    <cfRule type="expression" dxfId="30" priority="54">
      <formula>AND($G$21&lt;&gt;"-",$H$29+$I$29&lt;$G$21)</formula>
    </cfRule>
    <cfRule type="expression" dxfId="29" priority="55">
      <formula>AND($I$21&lt;&gt;"-",$H$29+$I$29&lt;$I$21)</formula>
    </cfRule>
  </conditionalFormatting>
  <conditionalFormatting sqref="H29:I29">
    <cfRule type="expression" dxfId="28" priority="51">
      <formula>$H$29+$I$29&lt;$N$26</formula>
    </cfRule>
  </conditionalFormatting>
  <conditionalFormatting sqref="H4:I4">
    <cfRule type="expression" dxfId="27" priority="29">
      <formula>$D$4="Techniek &amp; ICT"</formula>
    </cfRule>
  </conditionalFormatting>
  <conditionalFormatting sqref="G4">
    <cfRule type="expression" dxfId="26" priority="28">
      <formula>$D$4="Techniek &amp; ICT"</formula>
    </cfRule>
  </conditionalFormatting>
  <conditionalFormatting sqref="K29">
    <cfRule type="expression" dxfId="25" priority="88">
      <formula>$K$29&lt;$N$28</formula>
    </cfRule>
  </conditionalFormatting>
  <conditionalFormatting sqref="K35">
    <cfRule type="expression" dxfId="24" priority="91">
      <formula>K35&lt;N34</formula>
    </cfRule>
  </conditionalFormatting>
  <conditionalFormatting sqref="H35:I35">
    <cfRule type="expression" dxfId="23" priority="94">
      <formula>$H$35+$I$35&lt;$N$32</formula>
    </cfRule>
  </conditionalFormatting>
  <conditionalFormatting sqref="H41:I41">
    <cfRule type="expression" dxfId="22" priority="95">
      <formula>$H41+$I$41&lt;$N$38</formula>
    </cfRule>
  </conditionalFormatting>
  <conditionalFormatting sqref="H47:I47">
    <cfRule type="expression" dxfId="21" priority="96">
      <formula>$H$47+$I$47&lt;$N$44</formula>
    </cfRule>
  </conditionalFormatting>
  <conditionalFormatting sqref="J35">
    <cfRule type="expression" dxfId="20" priority="97">
      <formula>$J$35&lt;$N$33</formula>
    </cfRule>
  </conditionalFormatting>
  <conditionalFormatting sqref="J41">
    <cfRule type="expression" dxfId="19" priority="98">
      <formula>$J$41&lt;$N$39</formula>
    </cfRule>
  </conditionalFormatting>
  <conditionalFormatting sqref="J47">
    <cfRule type="expression" dxfId="18" priority="99">
      <formula>$J$47&lt;$N$45</formula>
    </cfRule>
  </conditionalFormatting>
  <conditionalFormatting sqref="J29">
    <cfRule type="expression" dxfId="17" priority="16">
      <formula>$J$29&lt;$N$27</formula>
    </cfRule>
  </conditionalFormatting>
  <conditionalFormatting sqref="K41">
    <cfRule type="expression" dxfId="16" priority="15">
      <formula>$K$41&lt;$N$40</formula>
    </cfRule>
  </conditionalFormatting>
  <conditionalFormatting sqref="K47">
    <cfRule type="expression" dxfId="15" priority="14">
      <formula>$K$47&lt;$N$46</formula>
    </cfRule>
  </conditionalFormatting>
  <conditionalFormatting sqref="K18">
    <cfRule type="expression" dxfId="14" priority="103">
      <formula>$K$18="ja"</formula>
    </cfRule>
    <cfRule type="expression" dxfId="13" priority="104">
      <formula>AND($G$18&lt;&gt;"-",$I$50&lt;$G$18)</formula>
    </cfRule>
    <cfRule type="expression" dxfId="12" priority="105">
      <formula>AND($I$18&lt;&gt;"-",$I$50&lt;$I$18)</formula>
    </cfRule>
  </conditionalFormatting>
  <conditionalFormatting sqref="I50">
    <cfRule type="expression" dxfId="11" priority="7">
      <formula>$K$18="ja"</formula>
    </cfRule>
    <cfRule type="expression" dxfId="10" priority="8">
      <formula>AND($G$18&lt;&gt;"-",$I$50&lt;$G$18)</formula>
    </cfRule>
    <cfRule type="expression" dxfId="9" priority="9">
      <formula>AND($I$18&lt;&gt;"-",$I$50&lt;$I$18)</formula>
    </cfRule>
  </conditionalFormatting>
  <conditionalFormatting sqref="J50">
    <cfRule type="expression" dxfId="8" priority="4">
      <formula>$K$19="ja"</formula>
    </cfRule>
    <cfRule type="expression" dxfId="7" priority="5">
      <formula>AND($G$19&lt;&gt;"-",$J$50&lt;$G$19)</formula>
    </cfRule>
    <cfRule type="expression" dxfId="6" priority="6">
      <formula>AND($I$19&lt;&gt;"-",$J$50&lt;$I$19)</formula>
    </cfRule>
  </conditionalFormatting>
  <conditionalFormatting sqref="K50">
    <cfRule type="expression" dxfId="5" priority="1">
      <formula>$K$17="ja"</formula>
    </cfRule>
    <cfRule type="expression" dxfId="4" priority="2">
      <formula>$K$50&lt;$G$17</formula>
    </cfRule>
    <cfRule type="expression" dxfId="3" priority="3">
      <formula>$K$50&lt;$I$17</formula>
    </cfRule>
  </conditionalFormatting>
  <conditionalFormatting sqref="D31:D34 I31:J34">
    <cfRule type="expression" dxfId="2" priority="106">
      <formula>$N$10&lt;2</formula>
    </cfRule>
  </conditionalFormatting>
  <conditionalFormatting sqref="D37:D40 I37:J40">
    <cfRule type="expression" dxfId="1" priority="108">
      <formula>$N$10&lt;3</formula>
    </cfRule>
  </conditionalFormatting>
  <conditionalFormatting sqref="I43:J46 D43:D46">
    <cfRule type="expression" dxfId="0" priority="110">
      <formula>$N$10&lt;4</formula>
    </cfRule>
  </conditionalFormatting>
  <dataValidations count="3">
    <dataValidation type="list" allowBlank="1" showInputMessage="1" showErrorMessage="1" sqref="D7:E7">
      <formula1>cohorten</formula1>
    </dataValidation>
    <dataValidation type="list" allowBlank="1" showInputMessage="1" showErrorMessage="1" sqref="D5:K5">
      <formula1>IF($N$4="",INDIRECT($N$3),INDIRECT($N$4))</formula1>
    </dataValidation>
    <dataValidation type="list" allowBlank="1" showInputMessage="1" showErrorMessage="1" sqref="D8:E8">
      <formula1>IF($N$5="","",INDIRECT($N$5))</formula1>
    </dataValidation>
  </dataValidations>
  <pageMargins left="0.7" right="0.7" top="0.75" bottom="0.75" header="0.3" footer="0.3"/>
  <pageSetup paperSize="9" orientation="landscape" horizontalDpi="4294967293" r:id="rId1"/>
  <ignoredErrors>
    <ignoredError sqref="H43 H44:H45 K43:K45 N43" evalError="1"/>
    <ignoredError sqref="I19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9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Parameters!$A$67:$A$71</xm:f>
          </x14:formula1>
          <xm:sqref>D4:E4</xm:sqref>
        </x14:dataValidation>
        <x14:dataValidation type="list" allowBlank="1" showInputMessage="1" showErrorMessage="1">
          <x14:formula1>
            <xm:f>Parameters!$A$80:$A$84</xm:f>
          </x14:formula1>
          <xm:sqref>H4:I4</xm:sqref>
        </x14:dataValidation>
        <x14:dataValidation type="list" allowBlank="1" showInputMessage="1" showErrorMessage="1">
          <x14:formula1>
            <xm:f>Parameters!$A$51:$A$52</xm:f>
          </x14:formula1>
          <xm:sqref>D6:E6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B2:F32"/>
  <sheetViews>
    <sheetView showGridLines="0" workbookViewId="0">
      <selection activeCell="D13" sqref="D13"/>
    </sheetView>
  </sheetViews>
  <sheetFormatPr defaultRowHeight="17.100000000000001" customHeight="1" x14ac:dyDescent="0.3"/>
  <cols>
    <col min="1" max="1" width="3.5546875" customWidth="1"/>
    <col min="2" max="6" width="15.6640625" customWidth="1"/>
  </cols>
  <sheetData>
    <row r="2" spans="2:6" ht="27.75" customHeight="1" x14ac:dyDescent="0.3">
      <c r="B2" s="48" t="s">
        <v>63</v>
      </c>
      <c r="C2" s="166" t="str">
        <f>RIGHT(Programmering!$D$5,LEN(Programmering!$D$5)-8)</f>
        <v>Zelfstandig werkend gastheer/-vrouw</v>
      </c>
      <c r="D2" s="166"/>
      <c r="E2" s="166"/>
      <c r="F2" s="167"/>
    </row>
    <row r="3" spans="2:6" ht="17.100000000000001" customHeight="1" x14ac:dyDescent="0.3">
      <c r="B3" s="47" t="s">
        <v>64</v>
      </c>
      <c r="C3" t="str">
        <f>LEFT(Programmering!$D$5,5)</f>
        <v>25171</v>
      </c>
      <c r="D3" s="2"/>
      <c r="E3" s="12" t="s">
        <v>65</v>
      </c>
      <c r="F3" s="31" t="str">
        <f>Programmering!$D$7</f>
        <v>2019/2020</v>
      </c>
    </row>
    <row r="4" spans="2:6" ht="17.100000000000001" customHeight="1" x14ac:dyDescent="0.3">
      <c r="B4" s="47" t="s">
        <v>19</v>
      </c>
      <c r="C4" s="2">
        <f>Programmering!$N$8</f>
        <v>3</v>
      </c>
      <c r="E4" s="12" t="s">
        <v>10</v>
      </c>
      <c r="F4" s="31" t="str">
        <f>Programmering!$D$6</f>
        <v>BOL</v>
      </c>
    </row>
    <row r="5" spans="2:6" ht="17.100000000000001" customHeight="1" x14ac:dyDescent="0.3">
      <c r="B5" s="47" t="s">
        <v>66</v>
      </c>
      <c r="C5" s="37">
        <f>Programmering!$D$9</f>
        <v>43709</v>
      </c>
      <c r="E5" s="12" t="s">
        <v>67</v>
      </c>
      <c r="F5" s="46">
        <f>Programmering!$D$10</f>
        <v>44773</v>
      </c>
    </row>
    <row r="6" spans="2:6" ht="17.100000000000001" customHeight="1" x14ac:dyDescent="0.3">
      <c r="B6" s="35"/>
      <c r="C6" s="41"/>
      <c r="D6" s="41"/>
      <c r="E6" s="41"/>
      <c r="F6" s="30"/>
    </row>
    <row r="7" spans="2:6" ht="17.100000000000001" customHeight="1" x14ac:dyDescent="0.3">
      <c r="B7" s="36"/>
      <c r="C7" s="49" t="s">
        <v>68</v>
      </c>
      <c r="D7" s="50" t="s">
        <v>69</v>
      </c>
      <c r="E7" s="50" t="s">
        <v>42</v>
      </c>
      <c r="F7" s="50" t="s">
        <v>43</v>
      </c>
    </row>
    <row r="8" spans="2:6" ht="17.100000000000001" customHeight="1" x14ac:dyDescent="0.3">
      <c r="B8" s="161" t="str">
        <f>Programmering!B25</f>
        <v>Leerjaar 1</v>
      </c>
      <c r="C8" s="28">
        <v>1</v>
      </c>
      <c r="D8" s="29">
        <f>Programmering!H25+Programmering!I25</f>
        <v>237.5</v>
      </c>
      <c r="E8" s="28">
        <f>Programmering!J25</f>
        <v>0</v>
      </c>
      <c r="F8" s="28">
        <f>Programmering!K25</f>
        <v>237.5</v>
      </c>
    </row>
    <row r="9" spans="2:6" ht="17.100000000000001" customHeight="1" x14ac:dyDescent="0.3">
      <c r="B9" s="162"/>
      <c r="C9" s="28">
        <v>2</v>
      </c>
      <c r="D9" s="29">
        <f>Programmering!H26+Programmering!I26</f>
        <v>150.41666666666669</v>
      </c>
      <c r="E9" s="28">
        <f>Programmering!J26</f>
        <v>140</v>
      </c>
      <c r="F9" s="28">
        <f>Programmering!K26</f>
        <v>290.41666666666669</v>
      </c>
    </row>
    <row r="10" spans="2:6" ht="17.100000000000001" customHeight="1" x14ac:dyDescent="0.3">
      <c r="B10" s="162"/>
      <c r="C10" s="28">
        <v>3</v>
      </c>
      <c r="D10" s="29">
        <f>Programmering!H27+Programmering!I27</f>
        <v>150.41666666666669</v>
      </c>
      <c r="E10" s="28">
        <f>Programmering!J27</f>
        <v>140</v>
      </c>
      <c r="F10" s="28">
        <f>Programmering!K27</f>
        <v>290.41666666666669</v>
      </c>
    </row>
    <row r="11" spans="2:6" ht="17.100000000000001" customHeight="1" x14ac:dyDescent="0.3">
      <c r="B11" s="163"/>
      <c r="C11" s="28">
        <v>4</v>
      </c>
      <c r="D11" s="29">
        <f>Programmering!H28+Programmering!I28</f>
        <v>141.66666666666669</v>
      </c>
      <c r="E11" s="28">
        <f>Programmering!J28</f>
        <v>140</v>
      </c>
      <c r="F11" s="28">
        <f>Programmering!K28</f>
        <v>281.66666666666669</v>
      </c>
    </row>
    <row r="12" spans="2:6" ht="17.25" customHeight="1" x14ac:dyDescent="0.3">
      <c r="B12" s="164" t="s">
        <v>70</v>
      </c>
      <c r="C12" s="165"/>
      <c r="D12" s="32">
        <f>Programmering!H29+Programmering!I29</f>
        <v>680</v>
      </c>
      <c r="E12" s="33">
        <f>Programmering!J29</f>
        <v>420</v>
      </c>
      <c r="F12" s="33">
        <f>Programmering!K29</f>
        <v>1100.0000000000002</v>
      </c>
    </row>
    <row r="13" spans="2:6" ht="17.100000000000001" customHeight="1" x14ac:dyDescent="0.3">
      <c r="B13" s="38"/>
      <c r="D13" s="34"/>
      <c r="E13" s="34"/>
      <c r="F13" s="42"/>
    </row>
    <row r="14" spans="2:6" ht="17.100000000000001" customHeight="1" x14ac:dyDescent="0.3">
      <c r="B14" s="161" t="str">
        <f>Programmering!B31</f>
        <v>Leerjaar 2</v>
      </c>
      <c r="C14" s="28">
        <v>1</v>
      </c>
      <c r="D14" s="29">
        <f>Programmering!H31+Programmering!I31</f>
        <v>158.33333333333334</v>
      </c>
      <c r="E14" s="29">
        <f>Programmering!J31</f>
        <v>140</v>
      </c>
      <c r="F14" s="29">
        <f>Programmering!K31</f>
        <v>298.33333333333337</v>
      </c>
    </row>
    <row r="15" spans="2:6" ht="17.100000000000001" customHeight="1" x14ac:dyDescent="0.3">
      <c r="B15" s="162"/>
      <c r="C15" s="28">
        <v>2</v>
      </c>
      <c r="D15" s="29">
        <f>Programmering!H32+Programmering!I32</f>
        <v>158.33333333333334</v>
      </c>
      <c r="E15" s="29">
        <f>Programmering!J32</f>
        <v>140</v>
      </c>
      <c r="F15" s="29">
        <f>Programmering!K32</f>
        <v>298.33333333333337</v>
      </c>
    </row>
    <row r="16" spans="2:6" ht="17.100000000000001" customHeight="1" x14ac:dyDescent="0.3">
      <c r="B16" s="162"/>
      <c r="C16" s="28">
        <v>3</v>
      </c>
      <c r="D16" s="29">
        <f>Programmering!H33+Programmering!I33</f>
        <v>158.33333333333334</v>
      </c>
      <c r="E16" s="29">
        <f>Programmering!J33</f>
        <v>140</v>
      </c>
      <c r="F16" s="29">
        <f>Programmering!K33</f>
        <v>298.33333333333337</v>
      </c>
    </row>
    <row r="17" spans="2:6" ht="17.100000000000001" customHeight="1" x14ac:dyDescent="0.3">
      <c r="B17" s="163"/>
      <c r="C17" s="28">
        <v>4</v>
      </c>
      <c r="D17" s="29">
        <f>Programmering!H34+Programmering!I34</f>
        <v>14.166666666666668</v>
      </c>
      <c r="E17" s="29">
        <f>Programmering!J34</f>
        <v>220</v>
      </c>
      <c r="F17" s="29">
        <f>Programmering!K34</f>
        <v>234.16666666666666</v>
      </c>
    </row>
    <row r="18" spans="2:6" ht="17.100000000000001" customHeight="1" x14ac:dyDescent="0.3">
      <c r="B18" s="164" t="str">
        <f>IF(Programmering!G35="","","Totaal ")</f>
        <v xml:space="preserve">Totaal </v>
      </c>
      <c r="C18" s="165"/>
      <c r="D18" s="32">
        <f>Programmering!H35+Programmering!I35</f>
        <v>489.16666666666669</v>
      </c>
      <c r="E18" s="32">
        <f>Programmering!J35</f>
        <v>640</v>
      </c>
      <c r="F18" s="32">
        <f>Programmering!K35</f>
        <v>1129.1666666666667</v>
      </c>
    </row>
    <row r="19" spans="2:6" ht="17.100000000000001" customHeight="1" x14ac:dyDescent="0.3">
      <c r="B19" s="39"/>
      <c r="C19" s="40"/>
      <c r="D19" s="43"/>
      <c r="E19" s="43"/>
      <c r="F19" s="29"/>
    </row>
    <row r="20" spans="2:6" ht="17.100000000000001" customHeight="1" x14ac:dyDescent="0.3">
      <c r="B20" s="162" t="str">
        <f>Programmering!B37</f>
        <v/>
      </c>
      <c r="C20" s="44">
        <v>1</v>
      </c>
      <c r="D20" s="45">
        <f>Programmering!H37+Programmering!I37</f>
        <v>0</v>
      </c>
      <c r="E20" s="45">
        <f>Programmering!J37</f>
        <v>0</v>
      </c>
      <c r="F20" s="45">
        <f>Programmering!K37</f>
        <v>0</v>
      </c>
    </row>
    <row r="21" spans="2:6" ht="17.100000000000001" customHeight="1" x14ac:dyDescent="0.3">
      <c r="B21" s="162"/>
      <c r="C21" s="28">
        <v>2</v>
      </c>
      <c r="D21" s="29">
        <f>Programmering!H38+Programmering!I38</f>
        <v>0</v>
      </c>
      <c r="E21" s="29">
        <f>Programmering!J38</f>
        <v>0</v>
      </c>
      <c r="F21" s="29">
        <f>Programmering!K38</f>
        <v>0</v>
      </c>
    </row>
    <row r="22" spans="2:6" ht="17.100000000000001" customHeight="1" x14ac:dyDescent="0.3">
      <c r="B22" s="162"/>
      <c r="C22" s="28">
        <v>3</v>
      </c>
      <c r="D22" s="29">
        <f>Programmering!H39+Programmering!I39</f>
        <v>0</v>
      </c>
      <c r="E22" s="29">
        <f>Programmering!J39</f>
        <v>0</v>
      </c>
      <c r="F22" s="29">
        <f>Programmering!K39</f>
        <v>0</v>
      </c>
    </row>
    <row r="23" spans="2:6" ht="17.100000000000001" customHeight="1" x14ac:dyDescent="0.3">
      <c r="B23" s="163"/>
      <c r="C23" s="28">
        <v>4</v>
      </c>
      <c r="D23" s="29">
        <f>Programmering!H40+Programmering!I40</f>
        <v>0</v>
      </c>
      <c r="E23" s="29">
        <f>Programmering!J40</f>
        <v>0</v>
      </c>
      <c r="F23" s="29">
        <f>Programmering!K40</f>
        <v>0</v>
      </c>
    </row>
    <row r="24" spans="2:6" ht="17.100000000000001" customHeight="1" x14ac:dyDescent="0.3">
      <c r="B24" s="164" t="str">
        <f>IF(Programmering!G41="","","Totaal ")</f>
        <v/>
      </c>
      <c r="C24" s="165"/>
      <c r="D24" s="32">
        <f>Programmering!H41+Programmering!I41</f>
        <v>0</v>
      </c>
      <c r="E24" s="32">
        <f>Programmering!J41</f>
        <v>0</v>
      </c>
      <c r="F24" s="32">
        <f>Programmering!K41</f>
        <v>0</v>
      </c>
    </row>
    <row r="25" spans="2:6" ht="17.100000000000001" customHeight="1" x14ac:dyDescent="0.3">
      <c r="B25" s="38"/>
      <c r="D25" s="43"/>
      <c r="E25" s="43"/>
      <c r="F25" s="29"/>
    </row>
    <row r="26" spans="2:6" ht="17.100000000000001" customHeight="1" x14ac:dyDescent="0.3">
      <c r="B26" s="161" t="str">
        <f>Programmering!B43</f>
        <v/>
      </c>
      <c r="C26" s="28">
        <v>1</v>
      </c>
      <c r="D26" s="45">
        <f>Programmering!H43+Programmering!I43</f>
        <v>0</v>
      </c>
      <c r="E26" s="45">
        <f>Programmering!J43</f>
        <v>0</v>
      </c>
      <c r="F26" s="45">
        <f>Programmering!K43</f>
        <v>0</v>
      </c>
    </row>
    <row r="27" spans="2:6" ht="17.100000000000001" customHeight="1" x14ac:dyDescent="0.3">
      <c r="B27" s="162"/>
      <c r="C27" s="28">
        <v>2</v>
      </c>
      <c r="D27" s="29">
        <f>Programmering!H44+Programmering!I44</f>
        <v>0</v>
      </c>
      <c r="E27" s="29">
        <f>Programmering!J44</f>
        <v>0</v>
      </c>
      <c r="F27" s="29">
        <f>Programmering!K44</f>
        <v>0</v>
      </c>
    </row>
    <row r="28" spans="2:6" ht="17.100000000000001" customHeight="1" x14ac:dyDescent="0.3">
      <c r="B28" s="162"/>
      <c r="C28" s="28">
        <v>3</v>
      </c>
      <c r="D28" s="29">
        <f>Programmering!H45+Programmering!I45</f>
        <v>0</v>
      </c>
      <c r="E28" s="29">
        <f>Programmering!J45</f>
        <v>0</v>
      </c>
      <c r="F28" s="29">
        <f>Programmering!K45</f>
        <v>0</v>
      </c>
    </row>
    <row r="29" spans="2:6" ht="17.100000000000001" customHeight="1" x14ac:dyDescent="0.3">
      <c r="B29" s="163"/>
      <c r="C29" s="28">
        <v>4</v>
      </c>
      <c r="D29" s="29">
        <f>Programmering!H46+Programmering!I46</f>
        <v>0</v>
      </c>
      <c r="E29" s="29">
        <f>Programmering!J46</f>
        <v>0</v>
      </c>
      <c r="F29" s="29">
        <f>Programmering!K46</f>
        <v>0</v>
      </c>
    </row>
    <row r="30" spans="2:6" ht="17.100000000000001" customHeight="1" x14ac:dyDescent="0.3">
      <c r="B30" s="164" t="str">
        <f>IF(Programmering!G47="","","Totaal ")</f>
        <v/>
      </c>
      <c r="C30" s="165"/>
      <c r="D30" s="32">
        <f>Programmering!H47+Programmering!I47</f>
        <v>0</v>
      </c>
      <c r="E30" s="32">
        <f>Programmering!J47</f>
        <v>0</v>
      </c>
      <c r="F30" s="32">
        <f>Programmering!K47</f>
        <v>0</v>
      </c>
    </row>
    <row r="31" spans="2:6" ht="17.100000000000001" customHeight="1" x14ac:dyDescent="0.3">
      <c r="B31" s="38"/>
      <c r="D31" s="43"/>
      <c r="E31" s="43"/>
      <c r="F31" s="29"/>
    </row>
    <row r="32" spans="2:6" ht="17.100000000000001" customHeight="1" x14ac:dyDescent="0.3">
      <c r="B32" s="168" t="s">
        <v>71</v>
      </c>
      <c r="C32" s="169"/>
      <c r="D32" s="51">
        <f>Programmering!I50</f>
        <v>1169.1666666666667</v>
      </c>
      <c r="E32" s="52">
        <f>Programmering!J50</f>
        <v>1060</v>
      </c>
      <c r="F32" s="52">
        <f>Programmering!K50</f>
        <v>2229.166666666667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30:C30"/>
    <mergeCell ref="B32:C32"/>
    <mergeCell ref="B14:B17"/>
    <mergeCell ref="B20:B23"/>
    <mergeCell ref="B26:B29"/>
    <mergeCell ref="B8:B11"/>
    <mergeCell ref="B12:C12"/>
    <mergeCell ref="B18:C18"/>
    <mergeCell ref="C2:F2"/>
    <mergeCell ref="B24:C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B1:F14"/>
  <sheetViews>
    <sheetView showGridLines="0" zoomScaleNormal="100" zoomScaleSheetLayoutView="110" workbookViewId="0">
      <selection activeCell="C9" sqref="C9"/>
    </sheetView>
  </sheetViews>
  <sheetFormatPr defaultColWidth="9.33203125" defaultRowHeight="15" customHeight="1" x14ac:dyDescent="0.3"/>
  <cols>
    <col min="1" max="1" width="4" customWidth="1"/>
    <col min="2" max="2" width="5.109375" style="2" customWidth="1"/>
    <col min="3" max="3" width="9.6640625" customWidth="1"/>
    <col min="4" max="4" width="11.44140625" style="1" customWidth="1"/>
    <col min="5" max="5" width="10.33203125" style="1" customWidth="1"/>
    <col min="6" max="6" width="5.554687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72</v>
      </c>
      <c r="D3" s="55"/>
      <c r="E3" s="55"/>
      <c r="F3" s="55"/>
    </row>
    <row r="4" spans="2:6" ht="30" customHeight="1" x14ac:dyDescent="0.3">
      <c r="B4" s="53"/>
      <c r="C4" s="56" t="s">
        <v>73</v>
      </c>
      <c r="D4" s="56" t="s">
        <v>74</v>
      </c>
      <c r="E4" s="55"/>
      <c r="F4" s="55"/>
    </row>
    <row r="5" spans="2:6" ht="15" customHeight="1" x14ac:dyDescent="0.3">
      <c r="B5" s="53"/>
      <c r="C5" s="58"/>
      <c r="D5" s="57">
        <f>C5*Parameters!$B$62/60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75</v>
      </c>
      <c r="D7" s="55"/>
      <c r="E7" s="55"/>
      <c r="F7" s="55"/>
    </row>
    <row r="8" spans="2:6" ht="30.75" customHeight="1" x14ac:dyDescent="0.3">
      <c r="B8" s="53"/>
      <c r="C8" s="56" t="s">
        <v>73</v>
      </c>
      <c r="D8" s="56" t="s">
        <v>46</v>
      </c>
      <c r="E8" s="56" t="s">
        <v>74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C9*Parameters!$B$62/60*D9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C10*Parameters!$B$62/60*D10</f>
        <v>0</v>
      </c>
      <c r="F10" s="55"/>
    </row>
    <row r="11" spans="2:6" ht="15" customHeight="1" x14ac:dyDescent="0.3">
      <c r="B11" s="53"/>
      <c r="C11" s="59"/>
      <c r="D11" s="68" t="s">
        <v>76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0" t="s">
        <v>77</v>
      </c>
      <c r="D13" s="170"/>
      <c r="E13" s="170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algorithmName="SHA-512" hashValue="Atry0VeAC+iObc3iywOAKmxVeSqhmpPMHSkgC1+W/8bVurdN0wLdw5t7AmIL7mu+HrgI9pjMva53xK4xsXjGcw==" saltValue="YPvzo47vUqiWpHMWdeTPbg==" spinCount="100000" sheet="1" objects="1" scenarios="1"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X84"/>
  <sheetViews>
    <sheetView topLeftCell="A25" zoomScaleNormal="100" workbookViewId="0">
      <selection activeCell="S47" sqref="S47"/>
    </sheetView>
  </sheetViews>
  <sheetFormatPr defaultColWidth="0" defaultRowHeight="15" customHeight="1" x14ac:dyDescent="0.3"/>
  <cols>
    <col min="1" max="1" width="29.886718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1093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1" t="s">
        <v>43</v>
      </c>
      <c r="C2" s="171"/>
      <c r="D2" s="171"/>
      <c r="E2" s="171" t="s">
        <v>60</v>
      </c>
      <c r="F2" s="171"/>
      <c r="G2" s="171"/>
      <c r="H2" s="171" t="s">
        <v>42</v>
      </c>
      <c r="I2" s="171"/>
      <c r="J2" s="171"/>
      <c r="K2" s="171" t="s">
        <v>78</v>
      </c>
      <c r="L2" s="171"/>
      <c r="M2" s="171"/>
      <c r="N2" s="171" t="s">
        <v>79</v>
      </c>
      <c r="O2" s="171"/>
      <c r="P2" s="171"/>
      <c r="Q2" s="171" t="s">
        <v>80</v>
      </c>
      <c r="R2" s="171"/>
      <c r="S2" s="1" t="s">
        <v>81</v>
      </c>
    </row>
    <row r="3" spans="1:19" ht="15" customHeight="1" x14ac:dyDescent="0.3">
      <c r="A3" s="3" t="s">
        <v>17</v>
      </c>
      <c r="B3" s="4" t="s">
        <v>12</v>
      </c>
      <c r="C3" s="4" t="s">
        <v>82</v>
      </c>
      <c r="D3" s="4" t="s">
        <v>83</v>
      </c>
      <c r="E3" s="4" t="s">
        <v>12</v>
      </c>
      <c r="F3" s="4" t="s">
        <v>84</v>
      </c>
      <c r="G3" s="4" t="s">
        <v>83</v>
      </c>
      <c r="H3" s="4" t="s">
        <v>12</v>
      </c>
      <c r="I3" s="4" t="s">
        <v>84</v>
      </c>
      <c r="J3" s="4" t="s">
        <v>83</v>
      </c>
      <c r="K3" s="4" t="s">
        <v>12</v>
      </c>
      <c r="L3" s="4" t="s">
        <v>84</v>
      </c>
      <c r="M3" s="4" t="s">
        <v>83</v>
      </c>
      <c r="N3" s="4" t="s">
        <v>12</v>
      </c>
      <c r="O3" s="4" t="s">
        <v>84</v>
      </c>
      <c r="P3" s="4" t="s">
        <v>83</v>
      </c>
      <c r="Q3" s="4" t="s">
        <v>85</v>
      </c>
      <c r="R3" s="4" t="s">
        <v>86</v>
      </c>
      <c r="S3" s="1" t="s">
        <v>84</v>
      </c>
    </row>
    <row r="4" spans="1:19" ht="15" customHeight="1" x14ac:dyDescent="0.3">
      <c r="A4" s="2" t="s">
        <v>87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88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89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90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91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92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18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93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94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95</v>
      </c>
      <c r="B13" s="14">
        <f t="shared" si="2"/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96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97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98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99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100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101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102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103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104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105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106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107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108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109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>
        <v>25498</v>
      </c>
      <c r="B28" s="13">
        <v>1000</v>
      </c>
      <c r="C28" s="14">
        <v>850</v>
      </c>
      <c r="D28" s="14">
        <v>0</v>
      </c>
      <c r="E28" s="15">
        <v>600</v>
      </c>
      <c r="F28" s="15">
        <v>200</v>
      </c>
      <c r="G28" s="15">
        <v>0</v>
      </c>
      <c r="H28" s="14">
        <v>400</v>
      </c>
      <c r="I28" s="14">
        <v>610</v>
      </c>
      <c r="J28" s="14">
        <v>0</v>
      </c>
      <c r="K28" s="15">
        <f>B28-E28-H28</f>
        <v>0</v>
      </c>
      <c r="L28" s="15">
        <f>C28-F28-I28</f>
        <v>40</v>
      </c>
      <c r="M28" s="15">
        <v>0</v>
      </c>
      <c r="N28" s="19">
        <v>600</v>
      </c>
      <c r="O28" s="19">
        <v>0</v>
      </c>
      <c r="P28" s="19">
        <v>0</v>
      </c>
      <c r="Q28" s="15">
        <v>10</v>
      </c>
      <c r="R28" s="19">
        <v>1</v>
      </c>
    </row>
    <row r="29" spans="1:18" ht="15" customHeight="1" x14ac:dyDescent="0.3">
      <c r="A29" s="95">
        <v>25499</v>
      </c>
      <c r="B29" s="13">
        <v>1000</v>
      </c>
      <c r="C29" s="14">
        <v>850</v>
      </c>
      <c r="D29" s="14">
        <v>0</v>
      </c>
      <c r="E29" s="15">
        <v>600</v>
      </c>
      <c r="F29" s="15">
        <v>200</v>
      </c>
      <c r="G29" s="15">
        <v>0</v>
      </c>
      <c r="H29" s="14">
        <v>400</v>
      </c>
      <c r="I29" s="14">
        <v>610</v>
      </c>
      <c r="J29" s="14">
        <v>0</v>
      </c>
      <c r="K29" s="15">
        <f t="shared" ref="K29:K47" si="8">B29-E29-H29</f>
        <v>0</v>
      </c>
      <c r="L29" s="15">
        <f t="shared" ref="L29:L46" si="9">C29-F29-I29</f>
        <v>40</v>
      </c>
      <c r="M29" s="15">
        <v>0</v>
      </c>
      <c r="N29" s="19">
        <v>600</v>
      </c>
      <c r="O29" s="19">
        <v>0</v>
      </c>
      <c r="P29" s="19">
        <v>0</v>
      </c>
      <c r="Q29" s="15">
        <v>10</v>
      </c>
      <c r="R29" s="19">
        <v>1</v>
      </c>
    </row>
    <row r="30" spans="1:18" ht="15" customHeight="1" x14ac:dyDescent="0.3">
      <c r="A30" s="95">
        <v>25407</v>
      </c>
      <c r="B30" s="13">
        <v>2000</v>
      </c>
      <c r="C30" s="14">
        <v>850</v>
      </c>
      <c r="D30" s="14">
        <v>0</v>
      </c>
      <c r="E30" s="15">
        <v>1150</v>
      </c>
      <c r="F30" s="15">
        <v>200</v>
      </c>
      <c r="G30" s="15">
        <v>0</v>
      </c>
      <c r="H30" s="14">
        <v>400</v>
      </c>
      <c r="I30" s="14">
        <v>610</v>
      </c>
      <c r="J30" s="14">
        <v>0</v>
      </c>
      <c r="K30" s="15">
        <f t="shared" si="8"/>
        <v>450</v>
      </c>
      <c r="L30" s="15">
        <f t="shared" si="9"/>
        <v>40</v>
      </c>
      <c r="M30" s="15">
        <v>0</v>
      </c>
      <c r="N30" s="19">
        <v>600</v>
      </c>
      <c r="O30" s="19">
        <v>0</v>
      </c>
      <c r="P30" s="19">
        <v>0</v>
      </c>
      <c r="Q30" s="15">
        <v>20</v>
      </c>
      <c r="R30" s="19">
        <v>2</v>
      </c>
    </row>
    <row r="31" spans="1:18" ht="15" customHeight="1" x14ac:dyDescent="0.3">
      <c r="A31" s="95">
        <v>25155</v>
      </c>
      <c r="B31" s="13">
        <v>2000</v>
      </c>
      <c r="C31" s="14">
        <v>850</v>
      </c>
      <c r="D31" s="14">
        <v>0</v>
      </c>
      <c r="E31" s="15">
        <v>1025</v>
      </c>
      <c r="F31" s="15">
        <v>200</v>
      </c>
      <c r="G31" s="15">
        <v>0</v>
      </c>
      <c r="H31" s="14">
        <v>450</v>
      </c>
      <c r="I31" s="14">
        <v>610</v>
      </c>
      <c r="J31" s="14">
        <v>0</v>
      </c>
      <c r="K31" s="15">
        <f t="shared" si="8"/>
        <v>525</v>
      </c>
      <c r="L31" s="15">
        <f t="shared" si="9"/>
        <v>40</v>
      </c>
      <c r="M31" s="15">
        <v>0</v>
      </c>
      <c r="N31" s="19">
        <v>615</v>
      </c>
      <c r="O31" s="19">
        <v>0</v>
      </c>
      <c r="P31" s="19">
        <v>0</v>
      </c>
      <c r="Q31" s="15">
        <v>20</v>
      </c>
      <c r="R31" s="19">
        <v>2</v>
      </c>
    </row>
    <row r="32" spans="1:18" ht="15" customHeight="1" x14ac:dyDescent="0.3">
      <c r="A32" s="95">
        <v>23064</v>
      </c>
      <c r="B32" s="13">
        <v>3000</v>
      </c>
      <c r="C32" s="14">
        <v>850</v>
      </c>
      <c r="D32" s="14">
        <v>0</v>
      </c>
      <c r="E32" s="15">
        <v>1700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400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9" ht="15" customHeight="1" x14ac:dyDescent="0.3">
      <c r="A33" s="95">
        <v>25132</v>
      </c>
      <c r="B33" s="13">
        <v>3000</v>
      </c>
      <c r="C33" s="14">
        <v>850</v>
      </c>
      <c r="D33" s="14">
        <v>0</v>
      </c>
      <c r="E33" s="15">
        <v>1700</v>
      </c>
      <c r="F33" s="15">
        <v>200</v>
      </c>
      <c r="G33" s="15">
        <v>0</v>
      </c>
      <c r="H33" s="14">
        <v>900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30</v>
      </c>
      <c r="R33" s="19">
        <v>3</v>
      </c>
    </row>
    <row r="34" spans="1:19" ht="15" customHeight="1" x14ac:dyDescent="0.3">
      <c r="A34" s="95">
        <v>23069</v>
      </c>
      <c r="B34" s="13">
        <v>3000</v>
      </c>
      <c r="C34" s="14">
        <v>850</v>
      </c>
      <c r="D34" s="14">
        <v>0</v>
      </c>
      <c r="E34" s="15">
        <v>1700</v>
      </c>
      <c r="F34" s="15">
        <v>200</v>
      </c>
      <c r="G34" s="15">
        <v>0</v>
      </c>
      <c r="H34" s="14">
        <v>900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30</v>
      </c>
      <c r="R34" s="19">
        <v>3</v>
      </c>
    </row>
    <row r="35" spans="1:19" ht="15" customHeight="1" x14ac:dyDescent="0.3">
      <c r="A35" s="95">
        <v>25151</v>
      </c>
      <c r="B35" s="14">
        <v>3000</v>
      </c>
      <c r="C35" s="14">
        <v>850</v>
      </c>
      <c r="D35" s="14">
        <v>0</v>
      </c>
      <c r="E35" s="15">
        <v>1700</v>
      </c>
      <c r="F35" s="15">
        <v>200</v>
      </c>
      <c r="G35" s="15">
        <v>0</v>
      </c>
      <c r="H35" s="14">
        <v>900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30</v>
      </c>
      <c r="R35" s="19">
        <v>3</v>
      </c>
    </row>
    <row r="36" spans="1:19" ht="15" customHeight="1" x14ac:dyDescent="0.3">
      <c r="A36" s="95">
        <v>23065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9" ht="15" customHeight="1" x14ac:dyDescent="0.3">
      <c r="A37" s="95">
        <v>25138</v>
      </c>
      <c r="B37" s="14">
        <v>3000</v>
      </c>
      <c r="C37" s="14">
        <v>850</v>
      </c>
      <c r="D37" s="14">
        <v>0</v>
      </c>
      <c r="E37" s="15">
        <v>1700</v>
      </c>
      <c r="F37" s="15">
        <v>200</v>
      </c>
      <c r="G37" s="15">
        <v>0</v>
      </c>
      <c r="H37" s="14">
        <v>900</v>
      </c>
      <c r="I37" s="14">
        <v>610</v>
      </c>
      <c r="J37" s="14">
        <v>0</v>
      </c>
      <c r="K37" s="15">
        <f t="shared" si="8"/>
        <v>400</v>
      </c>
      <c r="L37" s="15">
        <f t="shared" si="9"/>
        <v>40</v>
      </c>
      <c r="M37" s="15">
        <v>0</v>
      </c>
      <c r="N37" s="19">
        <v>650</v>
      </c>
      <c r="O37" s="19">
        <v>0</v>
      </c>
      <c r="P37" s="19">
        <v>0</v>
      </c>
      <c r="Q37" s="15">
        <v>30</v>
      </c>
      <c r="R37" s="19">
        <v>3</v>
      </c>
    </row>
    <row r="38" spans="1:19" ht="15" customHeight="1" x14ac:dyDescent="0.3">
      <c r="A38" s="95">
        <v>25140</v>
      </c>
      <c r="B38" s="14">
        <v>3000</v>
      </c>
      <c r="C38" s="14">
        <v>850</v>
      </c>
      <c r="D38" s="14">
        <v>0</v>
      </c>
      <c r="E38" s="15">
        <v>1700</v>
      </c>
      <c r="F38" s="15">
        <v>200</v>
      </c>
      <c r="G38" s="15">
        <v>0</v>
      </c>
      <c r="H38" s="14">
        <v>900</v>
      </c>
      <c r="I38" s="14">
        <v>610</v>
      </c>
      <c r="J38" s="14">
        <v>0</v>
      </c>
      <c r="K38" s="15">
        <f t="shared" si="8"/>
        <v>400</v>
      </c>
      <c r="L38" s="15">
        <f t="shared" si="9"/>
        <v>40</v>
      </c>
      <c r="M38" s="15">
        <v>0</v>
      </c>
      <c r="N38" s="19">
        <v>650</v>
      </c>
      <c r="O38" s="19">
        <v>0</v>
      </c>
      <c r="P38" s="19">
        <v>0</v>
      </c>
      <c r="Q38" s="15">
        <v>30</v>
      </c>
      <c r="R38" s="19">
        <v>3</v>
      </c>
    </row>
    <row r="39" spans="1:19" ht="15" customHeight="1" x14ac:dyDescent="0.3">
      <c r="A39" s="95">
        <v>25480</v>
      </c>
      <c r="B39" s="14">
        <v>4000</v>
      </c>
      <c r="C39" s="14">
        <v>850</v>
      </c>
      <c r="D39" s="14">
        <v>0</v>
      </c>
      <c r="E39" s="15">
        <v>0</v>
      </c>
      <c r="F39" s="15">
        <v>200</v>
      </c>
      <c r="G39" s="15">
        <v>0</v>
      </c>
      <c r="H39" s="14">
        <v>0</v>
      </c>
      <c r="I39" s="14">
        <v>610</v>
      </c>
      <c r="J39" s="14">
        <v>0</v>
      </c>
      <c r="K39" s="15">
        <f t="shared" si="8"/>
        <v>4000</v>
      </c>
      <c r="L39" s="15">
        <f t="shared" si="9"/>
        <v>40</v>
      </c>
      <c r="M39" s="15">
        <v>0</v>
      </c>
      <c r="N39" s="19">
        <v>0</v>
      </c>
      <c r="O39" s="19">
        <v>0</v>
      </c>
      <c r="P39" s="19">
        <v>0</v>
      </c>
      <c r="Q39" s="15">
        <v>40</v>
      </c>
      <c r="R39" s="19">
        <v>4</v>
      </c>
    </row>
    <row r="40" spans="1:19" ht="15" customHeight="1" x14ac:dyDescent="0.3">
      <c r="A40" s="95">
        <v>25191</v>
      </c>
      <c r="B40" s="14">
        <v>3000</v>
      </c>
      <c r="C40" s="14">
        <v>850</v>
      </c>
      <c r="D40" s="14">
        <v>0</v>
      </c>
      <c r="E40" s="15">
        <v>1675</v>
      </c>
      <c r="F40" s="15">
        <v>200</v>
      </c>
      <c r="G40" s="15">
        <v>0</v>
      </c>
      <c r="H40" s="14">
        <v>900</v>
      </c>
      <c r="I40" s="14">
        <v>610</v>
      </c>
      <c r="J40" s="14">
        <v>0</v>
      </c>
      <c r="K40" s="15">
        <f t="shared" si="8"/>
        <v>425</v>
      </c>
      <c r="L40" s="15">
        <f t="shared" si="9"/>
        <v>40</v>
      </c>
      <c r="M40" s="15">
        <v>0</v>
      </c>
      <c r="N40" s="19">
        <v>700</v>
      </c>
      <c r="O40" s="19">
        <v>0</v>
      </c>
      <c r="P40" s="19">
        <v>0</v>
      </c>
      <c r="Q40" s="15">
        <v>30</v>
      </c>
      <c r="R40" s="19">
        <v>3</v>
      </c>
    </row>
    <row r="41" spans="1:19" ht="15" customHeight="1" x14ac:dyDescent="0.3">
      <c r="A41" s="95">
        <v>25187</v>
      </c>
      <c r="B41" s="14">
        <v>3000</v>
      </c>
      <c r="C41" s="14">
        <v>850</v>
      </c>
      <c r="D41" s="14">
        <v>0</v>
      </c>
      <c r="E41" s="15">
        <v>1675</v>
      </c>
      <c r="F41" s="15">
        <v>200</v>
      </c>
      <c r="G41" s="15">
        <v>0</v>
      </c>
      <c r="H41" s="14">
        <v>900</v>
      </c>
      <c r="I41" s="14">
        <v>610</v>
      </c>
      <c r="J41" s="14">
        <v>0</v>
      </c>
      <c r="K41" s="15">
        <f t="shared" si="8"/>
        <v>425</v>
      </c>
      <c r="L41" s="15">
        <f t="shared" si="9"/>
        <v>40</v>
      </c>
      <c r="M41" s="15">
        <v>0</v>
      </c>
      <c r="N41" s="19">
        <v>700</v>
      </c>
      <c r="O41" s="19">
        <v>0</v>
      </c>
      <c r="P41" s="19">
        <v>0</v>
      </c>
      <c r="Q41" s="15">
        <v>30</v>
      </c>
      <c r="R41" s="19">
        <v>3</v>
      </c>
    </row>
    <row r="42" spans="1:19" ht="15" customHeight="1" x14ac:dyDescent="0.3">
      <c r="A42" s="95">
        <v>25189</v>
      </c>
      <c r="B42" s="14">
        <v>3000</v>
      </c>
      <c r="C42" s="14">
        <v>850</v>
      </c>
      <c r="D42" s="14">
        <v>0</v>
      </c>
      <c r="E42" s="15">
        <v>1675</v>
      </c>
      <c r="F42" s="15">
        <v>200</v>
      </c>
      <c r="G42" s="15">
        <v>0</v>
      </c>
      <c r="H42" s="14">
        <v>900</v>
      </c>
      <c r="I42" s="14">
        <v>610</v>
      </c>
      <c r="J42" s="14">
        <v>0</v>
      </c>
      <c r="K42" s="15">
        <f t="shared" si="8"/>
        <v>425</v>
      </c>
      <c r="L42" s="15">
        <f t="shared" si="9"/>
        <v>40</v>
      </c>
      <c r="M42" s="15">
        <v>0</v>
      </c>
      <c r="N42" s="19">
        <v>700</v>
      </c>
      <c r="O42" s="19">
        <v>0</v>
      </c>
      <c r="P42" s="19">
        <v>0</v>
      </c>
      <c r="Q42" s="15">
        <v>30</v>
      </c>
      <c r="R42" s="19">
        <v>3</v>
      </c>
    </row>
    <row r="43" spans="1:19" ht="15" customHeight="1" x14ac:dyDescent="0.3">
      <c r="A43" s="95">
        <v>25190</v>
      </c>
      <c r="B43" s="14">
        <v>3000</v>
      </c>
      <c r="C43" s="14">
        <v>850</v>
      </c>
      <c r="D43" s="14">
        <v>0</v>
      </c>
      <c r="E43" s="15">
        <v>1675</v>
      </c>
      <c r="F43" s="15">
        <v>200</v>
      </c>
      <c r="G43" s="15">
        <v>0</v>
      </c>
      <c r="H43" s="14">
        <v>900</v>
      </c>
      <c r="I43" s="14">
        <v>610</v>
      </c>
      <c r="J43" s="14">
        <v>0</v>
      </c>
      <c r="K43" s="15">
        <f t="shared" si="8"/>
        <v>425</v>
      </c>
      <c r="L43" s="15">
        <f t="shared" si="9"/>
        <v>40</v>
      </c>
      <c r="M43" s="15">
        <v>0</v>
      </c>
      <c r="N43" s="19">
        <v>700</v>
      </c>
      <c r="O43" s="19">
        <v>0</v>
      </c>
      <c r="P43" s="19">
        <v>0</v>
      </c>
      <c r="Q43" s="15">
        <v>30</v>
      </c>
      <c r="R43" s="19">
        <v>3</v>
      </c>
    </row>
    <row r="44" spans="1:19" ht="15" customHeight="1" x14ac:dyDescent="0.3">
      <c r="A44" s="95">
        <v>25104</v>
      </c>
      <c r="B44" s="14">
        <v>4000</v>
      </c>
      <c r="C44" s="14">
        <v>850</v>
      </c>
      <c r="D44" s="14">
        <v>0</v>
      </c>
      <c r="E44" s="15">
        <v>2200</v>
      </c>
      <c r="F44" s="15">
        <v>200</v>
      </c>
      <c r="G44" s="15">
        <v>0</v>
      </c>
      <c r="H44" s="14">
        <v>1350</v>
      </c>
      <c r="I44" s="14">
        <v>610</v>
      </c>
      <c r="J44" s="14">
        <v>0</v>
      </c>
      <c r="K44" s="15">
        <f t="shared" si="8"/>
        <v>450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40</v>
      </c>
      <c r="R44" s="19">
        <v>4</v>
      </c>
    </row>
    <row r="45" spans="1:19" ht="15" customHeight="1" x14ac:dyDescent="0.3">
      <c r="A45" s="95">
        <v>25105</v>
      </c>
      <c r="B45" s="14">
        <v>4000</v>
      </c>
      <c r="C45" s="14">
        <v>850</v>
      </c>
      <c r="D45" s="14">
        <v>0</v>
      </c>
      <c r="E45" s="15">
        <v>2200</v>
      </c>
      <c r="F45" s="15">
        <v>200</v>
      </c>
      <c r="G45" s="15">
        <v>0</v>
      </c>
      <c r="H45" s="14">
        <v>1350</v>
      </c>
      <c r="I45" s="14">
        <v>610</v>
      </c>
      <c r="J45" s="14">
        <v>0</v>
      </c>
      <c r="K45" s="15">
        <f t="shared" si="8"/>
        <v>450</v>
      </c>
      <c r="L45" s="15">
        <f t="shared" si="9"/>
        <v>40</v>
      </c>
      <c r="M45" s="15">
        <v>0</v>
      </c>
      <c r="N45" s="19">
        <v>650</v>
      </c>
      <c r="O45" s="19">
        <v>0</v>
      </c>
      <c r="P45" s="19">
        <v>0</v>
      </c>
      <c r="Q45" s="15">
        <v>40</v>
      </c>
      <c r="R45" s="19">
        <v>4</v>
      </c>
    </row>
    <row r="46" spans="1:19" ht="15" customHeight="1" x14ac:dyDescent="0.3">
      <c r="A46" s="95">
        <v>25297</v>
      </c>
      <c r="B46" s="14">
        <v>4000</v>
      </c>
      <c r="C46" s="14">
        <v>850</v>
      </c>
      <c r="D46" s="14">
        <v>0</v>
      </c>
      <c r="E46" s="15">
        <v>2200</v>
      </c>
      <c r="F46" s="15">
        <v>200</v>
      </c>
      <c r="G46" s="15">
        <v>0</v>
      </c>
      <c r="H46" s="14">
        <v>1350</v>
      </c>
      <c r="I46" s="14">
        <v>610</v>
      </c>
      <c r="J46" s="14">
        <v>0</v>
      </c>
      <c r="K46" s="15">
        <f t="shared" si="8"/>
        <v>450</v>
      </c>
      <c r="L46" s="15">
        <f t="shared" si="9"/>
        <v>40</v>
      </c>
      <c r="M46" s="15">
        <v>0</v>
      </c>
      <c r="N46" s="19">
        <v>650</v>
      </c>
      <c r="O46" s="19">
        <v>0</v>
      </c>
      <c r="P46" s="19">
        <v>0</v>
      </c>
      <c r="Q46" s="15">
        <v>40</v>
      </c>
      <c r="R46" s="19">
        <v>4</v>
      </c>
    </row>
    <row r="47" spans="1:19" ht="15" customHeight="1" x14ac:dyDescent="0.3">
      <c r="A47" s="95" t="s">
        <v>110</v>
      </c>
      <c r="B47" s="14">
        <v>3000</v>
      </c>
      <c r="C47" s="14">
        <v>850</v>
      </c>
      <c r="D47" s="14">
        <v>0</v>
      </c>
      <c r="E47" s="15">
        <v>1700</v>
      </c>
      <c r="F47" s="15">
        <v>250</v>
      </c>
      <c r="G47" s="15">
        <v>0</v>
      </c>
      <c r="H47" s="14">
        <v>1000</v>
      </c>
      <c r="I47" s="14">
        <v>610</v>
      </c>
      <c r="J47" s="14">
        <v>0</v>
      </c>
      <c r="K47" s="15">
        <f t="shared" si="8"/>
        <v>300</v>
      </c>
      <c r="L47" s="15">
        <v>0</v>
      </c>
      <c r="M47" s="15">
        <v>0</v>
      </c>
      <c r="N47" s="19">
        <v>700</v>
      </c>
      <c r="O47" s="19">
        <v>250</v>
      </c>
      <c r="P47" s="19">
        <v>0</v>
      </c>
      <c r="Q47" s="15">
        <v>30</v>
      </c>
      <c r="R47" s="19">
        <v>3</v>
      </c>
      <c r="S47" s="1">
        <v>150</v>
      </c>
    </row>
    <row r="48" spans="1:19" ht="15" customHeight="1" x14ac:dyDescent="0.3">
      <c r="A48" s="2"/>
      <c r="B48" s="14"/>
      <c r="C48" s="14"/>
      <c r="D48" s="14"/>
      <c r="E48" s="15"/>
      <c r="F48" s="15"/>
      <c r="G48" s="15"/>
      <c r="H48" s="14"/>
      <c r="I48" s="14"/>
      <c r="J48" s="14"/>
      <c r="K48" s="15"/>
      <c r="L48" s="15"/>
      <c r="M48" s="15"/>
      <c r="N48" s="19"/>
      <c r="O48" s="19"/>
      <c r="P48" s="19"/>
      <c r="Q48" s="15"/>
      <c r="R48" s="19"/>
    </row>
    <row r="49" spans="1:19" ht="15" customHeight="1" x14ac:dyDescent="0.3">
      <c r="E49"/>
      <c r="K49" s="6"/>
      <c r="L49" s="6"/>
      <c r="M49" s="6"/>
      <c r="N49" s="6"/>
      <c r="O49" s="6"/>
      <c r="P49" s="6"/>
      <c r="Q49" s="6"/>
      <c r="R49" s="6"/>
      <c r="S49" s="7"/>
    </row>
    <row r="50" spans="1:19" s="5" customFormat="1" ht="15" customHeight="1" x14ac:dyDescent="0.3">
      <c r="A50" s="3" t="s">
        <v>111</v>
      </c>
      <c r="B50" s="5" t="s">
        <v>11</v>
      </c>
      <c r="C50" s="4" t="s">
        <v>112</v>
      </c>
      <c r="D50" s="4"/>
      <c r="E50" s="24"/>
      <c r="F50" s="24"/>
      <c r="G50" s="24"/>
      <c r="I50" s="24"/>
      <c r="J50" s="24"/>
      <c r="L50" s="4"/>
      <c r="M50" s="4"/>
      <c r="N50" s="8"/>
      <c r="O50" s="8"/>
      <c r="P50" s="8"/>
      <c r="Q50" s="8"/>
      <c r="R50" s="8"/>
      <c r="S50" s="7"/>
    </row>
    <row r="51" spans="1:19" ht="15" customHeight="1" x14ac:dyDescent="0.3">
      <c r="A51" t="s">
        <v>12</v>
      </c>
      <c r="B51" s="1" t="s">
        <v>12</v>
      </c>
      <c r="C51" s="25">
        <v>2</v>
      </c>
      <c r="D51" s="25"/>
      <c r="E51"/>
      <c r="F51"/>
      <c r="G51"/>
      <c r="I51" s="26"/>
      <c r="J51" s="26"/>
      <c r="L51" s="6"/>
      <c r="M51" s="6"/>
      <c r="N51" s="6"/>
      <c r="O51" s="6"/>
      <c r="P51" s="6"/>
      <c r="Q51" s="6"/>
      <c r="R51" s="6"/>
      <c r="S51" s="7"/>
    </row>
    <row r="52" spans="1:19" ht="15" customHeight="1" x14ac:dyDescent="0.3">
      <c r="A52" t="s">
        <v>84</v>
      </c>
      <c r="B52" s="1" t="s">
        <v>84</v>
      </c>
      <c r="C52" s="25">
        <v>3</v>
      </c>
      <c r="D52" s="25"/>
      <c r="E52"/>
      <c r="F52"/>
      <c r="G52"/>
      <c r="H52"/>
      <c r="I52" s="26"/>
      <c r="J52" s="26"/>
      <c r="L52" s="6"/>
      <c r="M52" s="6"/>
      <c r="N52" s="6"/>
      <c r="O52" s="6"/>
      <c r="P52" s="6"/>
      <c r="Q52" s="6"/>
      <c r="R52" s="6"/>
      <c r="S52" s="7"/>
    </row>
    <row r="53" spans="1:19" ht="15" customHeight="1" x14ac:dyDescent="0.3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7"/>
    </row>
    <row r="54" spans="1:19" s="5" customFormat="1" ht="15" customHeight="1" x14ac:dyDescent="0.3">
      <c r="A54" s="3" t="s">
        <v>113</v>
      </c>
      <c r="B54" s="4" t="s">
        <v>84</v>
      </c>
      <c r="C54" s="4" t="s">
        <v>12</v>
      </c>
      <c r="D54" s="4"/>
      <c r="F54" s="4"/>
      <c r="G54" s="4"/>
      <c r="H54" s="4"/>
      <c r="I54" s="4"/>
      <c r="J54" s="4"/>
      <c r="K54" s="4"/>
      <c r="L54" s="4"/>
      <c r="M54" s="4"/>
      <c r="N54" s="8"/>
      <c r="O54" s="8"/>
      <c r="P54" s="8"/>
      <c r="Q54" s="8"/>
      <c r="R54" s="8"/>
      <c r="S54" s="7"/>
    </row>
    <row r="55" spans="1:19" ht="15" customHeight="1" x14ac:dyDescent="0.3">
      <c r="A55" s="2" t="s">
        <v>114</v>
      </c>
      <c r="B55" s="1">
        <v>9</v>
      </c>
      <c r="C55" s="1">
        <v>9.5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7"/>
    </row>
    <row r="56" spans="1:19" ht="15" customHeight="1" x14ac:dyDescent="0.3">
      <c r="A56" s="2" t="s">
        <v>115</v>
      </c>
      <c r="B56" s="1">
        <v>9</v>
      </c>
      <c r="C56" s="1">
        <v>9.5</v>
      </c>
    </row>
    <row r="57" spans="1:19" ht="15" customHeight="1" x14ac:dyDescent="0.3">
      <c r="A57" s="2" t="s">
        <v>116</v>
      </c>
      <c r="B57" s="1">
        <v>9</v>
      </c>
      <c r="C57" s="1">
        <v>9.5</v>
      </c>
    </row>
    <row r="58" spans="1:19" ht="15" customHeight="1" x14ac:dyDescent="0.3">
      <c r="A58" s="2" t="s">
        <v>117</v>
      </c>
      <c r="B58" s="1">
        <v>8</v>
      </c>
      <c r="C58" s="1">
        <v>8.5</v>
      </c>
    </row>
    <row r="59" spans="1:19" ht="15" customHeight="1" x14ac:dyDescent="0.3">
      <c r="A59" s="2"/>
    </row>
    <row r="60" spans="1:19" s="5" customFormat="1" ht="15" customHeight="1" x14ac:dyDescent="0.3">
      <c r="A60" s="3" t="s">
        <v>118</v>
      </c>
      <c r="B60" s="4" t="s">
        <v>119</v>
      </c>
      <c r="C60" s="4" t="s">
        <v>120</v>
      </c>
      <c r="D60" s="4" t="s">
        <v>121</v>
      </c>
      <c r="L60" s="4"/>
      <c r="M60" s="4"/>
      <c r="N60" s="8"/>
      <c r="O60" s="8"/>
      <c r="P60" s="8"/>
      <c r="Q60" s="8"/>
      <c r="R60" s="8"/>
      <c r="S60" s="7"/>
    </row>
    <row r="61" spans="1:19" ht="15" customHeight="1" x14ac:dyDescent="0.3">
      <c r="A61" t="s">
        <v>122</v>
      </c>
      <c r="B61" s="9">
        <v>0.08</v>
      </c>
      <c r="C61" s="70">
        <v>0.08</v>
      </c>
      <c r="D61" s="10">
        <f>1000*(1+C61)</f>
        <v>1080</v>
      </c>
      <c r="L61" s="10"/>
      <c r="M61" s="10"/>
    </row>
    <row r="62" spans="1:19" ht="15" customHeight="1" x14ac:dyDescent="0.3">
      <c r="A62" t="s">
        <v>123</v>
      </c>
      <c r="B62" s="1">
        <v>50</v>
      </c>
    </row>
    <row r="63" spans="1:19" ht="15" customHeight="1" x14ac:dyDescent="0.3">
      <c r="A63" t="s">
        <v>124</v>
      </c>
      <c r="B63" s="16">
        <f>850*(100%+B61)</f>
        <v>918.00000000000011</v>
      </c>
      <c r="C63" s="16"/>
      <c r="D63" s="16"/>
      <c r="E63" s="16"/>
      <c r="F63" s="16"/>
      <c r="G63" s="16"/>
      <c r="H63" s="16"/>
    </row>
    <row r="64" spans="1:19" ht="15" customHeight="1" x14ac:dyDescent="0.3">
      <c r="A64" t="s">
        <v>125</v>
      </c>
      <c r="B64" s="16">
        <f>1000*(100%+B61)</f>
        <v>1080</v>
      </c>
      <c r="C64" s="16"/>
      <c r="D64" s="16"/>
      <c r="E64" s="16"/>
      <c r="F64" s="16"/>
      <c r="G64" s="16"/>
      <c r="H64" s="16"/>
    </row>
    <row r="65" spans="1:19" ht="15" customHeight="1" x14ac:dyDescent="0.3">
      <c r="B65" s="11"/>
      <c r="C65" s="11"/>
      <c r="D65" s="11"/>
      <c r="E65" s="11"/>
      <c r="F65" s="11"/>
      <c r="G65" s="11"/>
      <c r="H65" s="11"/>
    </row>
    <row r="66" spans="1:19" s="5" customFormat="1" ht="15" customHeight="1" x14ac:dyDescent="0.3">
      <c r="A66" s="3" t="s">
        <v>126</v>
      </c>
      <c r="B66" s="24" t="s">
        <v>127</v>
      </c>
      <c r="C66" s="24"/>
      <c r="D66" s="24"/>
      <c r="E66" s="4"/>
      <c r="F66" s="4"/>
      <c r="G66" s="4"/>
      <c r="H66" s="4"/>
      <c r="I66" s="4"/>
      <c r="J66" s="4"/>
      <c r="K66" s="4"/>
      <c r="L66" s="4"/>
      <c r="M66" s="4"/>
      <c r="N66" s="8"/>
      <c r="O66" s="8"/>
      <c r="P66" s="8"/>
      <c r="Q66" s="8"/>
      <c r="R66" s="8"/>
      <c r="S66" s="7"/>
    </row>
    <row r="67" spans="1:19" ht="15" customHeight="1" x14ac:dyDescent="0.3">
      <c r="A67" t="s">
        <v>4</v>
      </c>
      <c r="B67" t="s">
        <v>4</v>
      </c>
      <c r="C67"/>
      <c r="D67"/>
      <c r="E67"/>
      <c r="F67"/>
      <c r="G67"/>
      <c r="H67"/>
    </row>
    <row r="68" spans="1:19" ht="15" customHeight="1" x14ac:dyDescent="0.3">
      <c r="A68" t="s">
        <v>128</v>
      </c>
      <c r="B68" t="s">
        <v>128</v>
      </c>
      <c r="C68"/>
      <c r="D68"/>
      <c r="E68"/>
      <c r="F68"/>
      <c r="G68"/>
      <c r="H68"/>
    </row>
    <row r="69" spans="1:19" ht="15" customHeight="1" x14ac:dyDescent="0.3">
      <c r="A69" t="s">
        <v>129</v>
      </c>
      <c r="B69" t="s">
        <v>129</v>
      </c>
      <c r="C69"/>
      <c r="D69"/>
      <c r="E69"/>
      <c r="F69"/>
      <c r="G69"/>
      <c r="H69"/>
    </row>
    <row r="70" spans="1:19" ht="15" customHeight="1" x14ac:dyDescent="0.3">
      <c r="A70" t="s">
        <v>130</v>
      </c>
      <c r="B70" t="s">
        <v>131</v>
      </c>
      <c r="C70"/>
      <c r="D70"/>
      <c r="E70"/>
      <c r="F70"/>
      <c r="G70"/>
      <c r="H70"/>
    </row>
    <row r="71" spans="1:19" ht="15" customHeight="1" x14ac:dyDescent="0.3">
      <c r="A71" t="s">
        <v>132</v>
      </c>
      <c r="B71" t="s">
        <v>132</v>
      </c>
      <c r="C71"/>
      <c r="D71"/>
      <c r="E71"/>
      <c r="F71"/>
      <c r="G71"/>
      <c r="H71"/>
    </row>
    <row r="72" spans="1:19" ht="15" customHeight="1" x14ac:dyDescent="0.3">
      <c r="B72"/>
      <c r="C72"/>
      <c r="D72"/>
      <c r="E72"/>
      <c r="F72"/>
      <c r="G72"/>
      <c r="H72"/>
    </row>
    <row r="73" spans="1:19" s="5" customFormat="1" ht="15" customHeight="1" x14ac:dyDescent="0.3">
      <c r="A73" s="3" t="s">
        <v>133</v>
      </c>
      <c r="B73" s="4" t="s">
        <v>134</v>
      </c>
      <c r="C73" s="4"/>
      <c r="D73" s="4"/>
      <c r="E73" s="17"/>
      <c r="F73" s="17"/>
      <c r="G73" s="17"/>
      <c r="H73" s="17"/>
      <c r="I73" s="4"/>
      <c r="J73" s="4"/>
      <c r="K73" s="4"/>
      <c r="L73" s="4"/>
      <c r="M73" s="4"/>
      <c r="N73" s="8"/>
      <c r="O73" s="8"/>
      <c r="P73" s="8"/>
      <c r="Q73" s="8"/>
      <c r="R73" s="8"/>
      <c r="S73" s="7"/>
    </row>
    <row r="74" spans="1:19" ht="15" customHeight="1" x14ac:dyDescent="0.3">
      <c r="A74" t="s">
        <v>15</v>
      </c>
      <c r="B74" s="1">
        <v>1</v>
      </c>
    </row>
    <row r="75" spans="1:19" ht="15" customHeight="1" x14ac:dyDescent="0.3">
      <c r="A75" t="s">
        <v>135</v>
      </c>
      <c r="B75" s="1">
        <v>2</v>
      </c>
    </row>
    <row r="76" spans="1:19" ht="15" customHeight="1" x14ac:dyDescent="0.3">
      <c r="A76" t="s">
        <v>136</v>
      </c>
      <c r="B76" s="1">
        <v>3</v>
      </c>
    </row>
    <row r="77" spans="1:19" ht="15" customHeight="1" x14ac:dyDescent="0.3">
      <c r="A77" t="s">
        <v>137</v>
      </c>
      <c r="B77" s="1">
        <v>4</v>
      </c>
    </row>
    <row r="79" spans="1:19" s="5" customFormat="1" ht="15" customHeight="1" x14ac:dyDescent="0.3">
      <c r="A79" s="3" t="s">
        <v>138</v>
      </c>
      <c r="B79" s="4"/>
      <c r="C79" s="4"/>
      <c r="D79" s="4"/>
      <c r="E79" s="17"/>
      <c r="F79" s="17"/>
      <c r="G79" s="17"/>
      <c r="H79" s="17"/>
      <c r="I79" s="4"/>
      <c r="J79" s="4"/>
      <c r="K79" s="4"/>
      <c r="L79" s="4"/>
      <c r="M79" s="4"/>
      <c r="N79" s="8"/>
      <c r="O79" s="8"/>
      <c r="P79" s="8"/>
      <c r="Q79" s="8"/>
      <c r="R79" s="8"/>
      <c r="S79" s="7"/>
    </row>
    <row r="80" spans="1:19" ht="15" customHeight="1" x14ac:dyDescent="0.3">
      <c r="A80" t="s">
        <v>139</v>
      </c>
    </row>
    <row r="81" spans="1:1" ht="15" customHeight="1" x14ac:dyDescent="0.3">
      <c r="A81" t="s">
        <v>6</v>
      </c>
    </row>
    <row r="82" spans="1:1" ht="15" customHeight="1" x14ac:dyDescent="0.3">
      <c r="A82" t="s">
        <v>140</v>
      </c>
    </row>
    <row r="83" spans="1:1" ht="15" customHeight="1" x14ac:dyDescent="0.3">
      <c r="A83" t="s">
        <v>141</v>
      </c>
    </row>
    <row r="84" spans="1:1" ht="15" customHeight="1" x14ac:dyDescent="0.3">
      <c r="A84" t="s">
        <v>142</v>
      </c>
    </row>
  </sheetData>
  <mergeCells count="6">
    <mergeCell ref="Q2:R2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H168"/>
  <sheetViews>
    <sheetView workbookViewId="0">
      <selection activeCell="A5" sqref="A5:XFD5"/>
    </sheetView>
  </sheetViews>
  <sheetFormatPr defaultColWidth="9.109375" defaultRowHeight="17.100000000000001" customHeight="1" x14ac:dyDescent="0.3"/>
  <cols>
    <col min="1" max="1" width="81.6640625" bestFit="1" customWidth="1"/>
    <col min="2" max="2" width="7.33203125" style="1" customWidth="1"/>
    <col min="3" max="3" width="9" customWidth="1"/>
    <col min="4" max="4" width="9" style="1" customWidth="1"/>
    <col min="5" max="5" width="9" customWidth="1"/>
    <col min="6" max="6" width="9" style="1" customWidth="1"/>
    <col min="7" max="7" width="9" style="2" customWidth="1"/>
    <col min="8" max="8" width="9" style="1" customWidth="1"/>
    <col min="9" max="10" width="9" customWidth="1"/>
  </cols>
  <sheetData>
    <row r="1" spans="1:8" ht="17.100000000000001" customHeight="1" x14ac:dyDescent="0.3">
      <c r="A1" s="12" t="s">
        <v>143</v>
      </c>
      <c r="B1" s="69" t="s">
        <v>144</v>
      </c>
    </row>
    <row r="2" spans="1:8" ht="17.100000000000001" customHeight="1" x14ac:dyDescent="0.3">
      <c r="A2" t="s">
        <v>145</v>
      </c>
      <c r="B2" s="1">
        <v>2</v>
      </c>
    </row>
    <row r="3" spans="1:8" ht="17.100000000000001" customHeight="1" x14ac:dyDescent="0.3">
      <c r="A3" t="s">
        <v>146</v>
      </c>
      <c r="B3" s="1">
        <v>2</v>
      </c>
    </row>
    <row r="4" spans="1:8" ht="17.100000000000001" customHeight="1" x14ac:dyDescent="0.3">
      <c r="A4" t="s">
        <v>147</v>
      </c>
      <c r="B4" s="1">
        <v>2</v>
      </c>
    </row>
    <row r="5" spans="1:8" ht="17.100000000000001" customHeight="1" x14ac:dyDescent="0.3">
      <c r="A5" t="s">
        <v>9</v>
      </c>
      <c r="B5" s="1">
        <v>3</v>
      </c>
    </row>
    <row r="6" spans="1:8" ht="17.100000000000001" customHeight="1" x14ac:dyDescent="0.3">
      <c r="A6" t="s">
        <v>148</v>
      </c>
      <c r="B6" s="1">
        <v>4</v>
      </c>
    </row>
    <row r="7" spans="1:8" ht="17.100000000000001" customHeight="1" x14ac:dyDescent="0.3">
      <c r="A7" t="s">
        <v>149</v>
      </c>
      <c r="B7" s="1">
        <v>2</v>
      </c>
    </row>
    <row r="8" spans="1:8" ht="17.100000000000001" customHeight="1" x14ac:dyDescent="0.3">
      <c r="A8" t="s">
        <v>150</v>
      </c>
      <c r="B8" s="1">
        <v>3</v>
      </c>
    </row>
    <row r="9" spans="1:8" ht="17.100000000000001" customHeight="1" x14ac:dyDescent="0.3">
      <c r="A9" t="s">
        <v>151</v>
      </c>
      <c r="B9" s="1">
        <v>2</v>
      </c>
    </row>
    <row r="10" spans="1:8" ht="17.100000000000001" customHeight="1" x14ac:dyDescent="0.3">
      <c r="A10" t="s">
        <v>152</v>
      </c>
      <c r="B10" s="1">
        <v>2</v>
      </c>
    </row>
    <row r="11" spans="1:8" ht="17.100000000000001" customHeight="1" x14ac:dyDescent="0.3">
      <c r="A11" t="s">
        <v>153</v>
      </c>
      <c r="B11" s="1">
        <v>2</v>
      </c>
    </row>
    <row r="13" spans="1:8" ht="17.100000000000001" customHeight="1" x14ac:dyDescent="0.3">
      <c r="A13" s="12" t="s">
        <v>154</v>
      </c>
      <c r="B13"/>
      <c r="D13"/>
      <c r="F13"/>
      <c r="G13"/>
      <c r="H13"/>
    </row>
    <row r="14" spans="1:8" ht="17.100000000000001" customHeight="1" x14ac:dyDescent="0.3">
      <c r="A14" t="s">
        <v>155</v>
      </c>
      <c r="B14" s="1">
        <v>4</v>
      </c>
      <c r="D14"/>
      <c r="F14"/>
      <c r="G14"/>
      <c r="H14"/>
    </row>
    <row r="15" spans="1:8" ht="17.100000000000001" customHeight="1" x14ac:dyDescent="0.3">
      <c r="A15" t="s">
        <v>156</v>
      </c>
      <c r="B15" s="1">
        <v>4</v>
      </c>
      <c r="D15"/>
      <c r="F15"/>
      <c r="G15"/>
      <c r="H15"/>
    </row>
    <row r="16" spans="1:8" ht="17.100000000000001" customHeight="1" x14ac:dyDescent="0.3">
      <c r="A16" t="s">
        <v>157</v>
      </c>
      <c r="B16" s="1">
        <v>4</v>
      </c>
      <c r="D16"/>
      <c r="F16"/>
      <c r="G16"/>
      <c r="H16"/>
    </row>
    <row r="17" spans="1:8" ht="17.100000000000001" customHeight="1" x14ac:dyDescent="0.3">
      <c r="A17" t="s">
        <v>158</v>
      </c>
      <c r="B17" s="1">
        <v>3.4</v>
      </c>
      <c r="D17"/>
      <c r="F17"/>
      <c r="G17"/>
      <c r="H17"/>
    </row>
    <row r="18" spans="1:8" ht="17.100000000000001" customHeight="1" x14ac:dyDescent="0.3">
      <c r="A18" t="s">
        <v>159</v>
      </c>
      <c r="B18" s="1">
        <v>3.4</v>
      </c>
      <c r="D18"/>
      <c r="F18"/>
      <c r="G18"/>
      <c r="H18"/>
    </row>
    <row r="19" spans="1:8" ht="17.100000000000001" customHeight="1" x14ac:dyDescent="0.3">
      <c r="A19" t="s">
        <v>160</v>
      </c>
      <c r="B19" s="1">
        <v>3.4</v>
      </c>
      <c r="D19"/>
      <c r="F19"/>
      <c r="G19"/>
      <c r="H19"/>
    </row>
    <row r="20" spans="1:8" ht="17.100000000000001" customHeight="1" x14ac:dyDescent="0.3">
      <c r="A20" t="s">
        <v>161</v>
      </c>
      <c r="B20" s="1">
        <v>4</v>
      </c>
      <c r="D20"/>
      <c r="F20"/>
      <c r="G20"/>
      <c r="H20"/>
    </row>
    <row r="21" spans="1:8" ht="17.100000000000001" customHeight="1" x14ac:dyDescent="0.3">
      <c r="A21" t="s">
        <v>162</v>
      </c>
      <c r="B21" s="1">
        <v>4</v>
      </c>
      <c r="D21"/>
      <c r="F21"/>
      <c r="G21"/>
      <c r="H21"/>
    </row>
    <row r="22" spans="1:8" ht="17.100000000000001" customHeight="1" x14ac:dyDescent="0.3">
      <c r="A22" t="s">
        <v>163</v>
      </c>
      <c r="B22" s="1">
        <v>2</v>
      </c>
      <c r="D22"/>
      <c r="F22"/>
      <c r="G22"/>
      <c r="H22"/>
    </row>
    <row r="23" spans="1:8" ht="17.100000000000001" customHeight="1" x14ac:dyDescent="0.3">
      <c r="A23" t="s">
        <v>164</v>
      </c>
      <c r="B23" s="1">
        <v>2.2999999999999998</v>
      </c>
      <c r="D23"/>
      <c r="F23"/>
      <c r="G23"/>
      <c r="H23"/>
    </row>
    <row r="24" spans="1:8" ht="17.100000000000001" customHeight="1" x14ac:dyDescent="0.3">
      <c r="A24" t="s">
        <v>165</v>
      </c>
      <c r="B24" s="1">
        <v>4</v>
      </c>
      <c r="D24"/>
      <c r="F24"/>
      <c r="G24"/>
      <c r="H24"/>
    </row>
    <row r="25" spans="1:8" ht="17.100000000000001" customHeight="1" x14ac:dyDescent="0.3">
      <c r="A25" t="s">
        <v>166</v>
      </c>
      <c r="B25" s="1">
        <v>3</v>
      </c>
      <c r="D25"/>
      <c r="F25"/>
      <c r="G25"/>
      <c r="H25"/>
    </row>
    <row r="26" spans="1:8" ht="17.100000000000001" customHeight="1" x14ac:dyDescent="0.3">
      <c r="A26" t="s">
        <v>167</v>
      </c>
      <c r="B26" s="1">
        <v>4</v>
      </c>
      <c r="D26"/>
      <c r="F26"/>
      <c r="G26"/>
      <c r="H26"/>
    </row>
    <row r="27" spans="1:8" ht="17.100000000000001" customHeight="1" x14ac:dyDescent="0.3">
      <c r="A27" t="s">
        <v>168</v>
      </c>
      <c r="B27" s="1">
        <v>3</v>
      </c>
      <c r="D27"/>
      <c r="F27"/>
      <c r="G27"/>
      <c r="H27"/>
    </row>
    <row r="28" spans="1:8" ht="17.100000000000001" customHeight="1" x14ac:dyDescent="0.3">
      <c r="A28" t="s">
        <v>169</v>
      </c>
      <c r="B28" s="1">
        <v>4</v>
      </c>
      <c r="D28"/>
      <c r="F28"/>
      <c r="G28"/>
      <c r="H28"/>
    </row>
    <row r="29" spans="1:8" ht="17.100000000000001" customHeight="1" x14ac:dyDescent="0.3">
      <c r="A29" t="s">
        <v>145</v>
      </c>
      <c r="B29" s="1">
        <v>2</v>
      </c>
      <c r="D29"/>
      <c r="F29"/>
      <c r="G29"/>
      <c r="H29"/>
    </row>
    <row r="30" spans="1:8" ht="17.100000000000001" customHeight="1" x14ac:dyDescent="0.3">
      <c r="A30" t="s">
        <v>146</v>
      </c>
      <c r="B30" s="1">
        <v>2</v>
      </c>
      <c r="D30"/>
      <c r="F30"/>
      <c r="G30"/>
      <c r="H30"/>
    </row>
    <row r="31" spans="1:8" ht="17.100000000000001" customHeight="1" x14ac:dyDescent="0.3">
      <c r="A31" t="s">
        <v>170</v>
      </c>
      <c r="B31" s="1">
        <v>4</v>
      </c>
      <c r="D31"/>
      <c r="F31"/>
      <c r="G31"/>
      <c r="H31"/>
    </row>
    <row r="32" spans="1:8" ht="17.100000000000001" customHeight="1" x14ac:dyDescent="0.3">
      <c r="A32" t="s">
        <v>171</v>
      </c>
      <c r="B32" s="1">
        <v>3</v>
      </c>
      <c r="D32"/>
      <c r="F32"/>
      <c r="G32"/>
      <c r="H32"/>
    </row>
    <row r="33" spans="1:8" ht="17.100000000000001" customHeight="1" x14ac:dyDescent="0.3">
      <c r="A33" t="s">
        <v>172</v>
      </c>
      <c r="B33" s="1">
        <v>3.4</v>
      </c>
      <c r="D33"/>
      <c r="F33"/>
      <c r="G33"/>
      <c r="H33"/>
    </row>
    <row r="34" spans="1:8" ht="17.100000000000001" customHeight="1" x14ac:dyDescent="0.3">
      <c r="A34" t="s">
        <v>173</v>
      </c>
      <c r="B34" s="1">
        <v>4</v>
      </c>
      <c r="D34"/>
      <c r="F34"/>
      <c r="G34"/>
      <c r="H34"/>
    </row>
    <row r="35" spans="1:8" ht="17.100000000000001" customHeight="1" x14ac:dyDescent="0.3">
      <c r="A35" t="s">
        <v>174</v>
      </c>
      <c r="B35" s="1">
        <v>3</v>
      </c>
      <c r="D35"/>
      <c r="F35"/>
      <c r="G35"/>
      <c r="H35"/>
    </row>
    <row r="36" spans="1:8" ht="17.100000000000001" customHeight="1" x14ac:dyDescent="0.3">
      <c r="A36" t="s">
        <v>175</v>
      </c>
      <c r="B36" s="1">
        <v>3</v>
      </c>
      <c r="D36"/>
      <c r="F36"/>
      <c r="G36"/>
      <c r="H36"/>
    </row>
    <row r="37" spans="1:8" ht="17.100000000000001" customHeight="1" x14ac:dyDescent="0.3">
      <c r="A37" t="s">
        <v>176</v>
      </c>
      <c r="B37" s="1">
        <v>4</v>
      </c>
      <c r="D37"/>
      <c r="F37"/>
      <c r="G37"/>
      <c r="H37"/>
    </row>
    <row r="38" spans="1:8" ht="17.100000000000001" customHeight="1" x14ac:dyDescent="0.3">
      <c r="A38" t="s">
        <v>177</v>
      </c>
      <c r="B38" s="1">
        <v>4</v>
      </c>
      <c r="D38"/>
      <c r="F38"/>
      <c r="G38"/>
      <c r="H38"/>
    </row>
    <row r="39" spans="1:8" ht="17.100000000000001" customHeight="1" x14ac:dyDescent="0.3">
      <c r="A39" t="s">
        <v>178</v>
      </c>
      <c r="B39" s="1">
        <v>4</v>
      </c>
      <c r="D39"/>
      <c r="F39"/>
      <c r="G39"/>
      <c r="H39"/>
    </row>
    <row r="40" spans="1:8" ht="17.100000000000001" customHeight="1" x14ac:dyDescent="0.3">
      <c r="A40" t="s">
        <v>147</v>
      </c>
      <c r="B40" s="1">
        <v>2</v>
      </c>
      <c r="D40"/>
      <c r="F40"/>
      <c r="G40"/>
      <c r="H40"/>
    </row>
    <row r="41" spans="1:8" ht="17.100000000000001" customHeight="1" x14ac:dyDescent="0.3">
      <c r="A41" t="s">
        <v>151</v>
      </c>
      <c r="B41" s="1">
        <v>2</v>
      </c>
      <c r="D41"/>
      <c r="F41"/>
      <c r="G41"/>
      <c r="H41"/>
    </row>
    <row r="42" spans="1:8" ht="17.100000000000001" customHeight="1" x14ac:dyDescent="0.3">
      <c r="A42" t="s">
        <v>179</v>
      </c>
      <c r="B42" s="1">
        <v>3</v>
      </c>
      <c r="D42"/>
      <c r="F42"/>
      <c r="G42"/>
      <c r="H42"/>
    </row>
    <row r="43" spans="1:8" ht="17.100000000000001" customHeight="1" x14ac:dyDescent="0.3">
      <c r="D43"/>
      <c r="F43"/>
      <c r="G43"/>
      <c r="H43"/>
    </row>
    <row r="44" spans="1:8" ht="17.100000000000001" customHeight="1" x14ac:dyDescent="0.3">
      <c r="A44" s="12" t="s">
        <v>180</v>
      </c>
      <c r="B44" s="69"/>
      <c r="D44"/>
      <c r="F44"/>
      <c r="G44"/>
      <c r="H44"/>
    </row>
    <row r="45" spans="1:8" ht="17.100000000000001" customHeight="1" x14ac:dyDescent="0.3">
      <c r="A45" t="s">
        <v>181</v>
      </c>
      <c r="B45" s="1">
        <v>3</v>
      </c>
      <c r="D45"/>
      <c r="F45"/>
      <c r="G45"/>
      <c r="H45"/>
    </row>
    <row r="46" spans="1:8" ht="17.100000000000001" customHeight="1" x14ac:dyDescent="0.3">
      <c r="A46" t="s">
        <v>182</v>
      </c>
      <c r="B46" s="1">
        <v>4</v>
      </c>
      <c r="D46"/>
      <c r="F46"/>
      <c r="G46"/>
      <c r="H46"/>
    </row>
    <row r="47" spans="1:8" ht="17.100000000000001" customHeight="1" x14ac:dyDescent="0.3">
      <c r="A47" t="s">
        <v>183</v>
      </c>
      <c r="B47" s="1">
        <v>3</v>
      </c>
      <c r="D47"/>
      <c r="F47"/>
      <c r="G47"/>
      <c r="H47"/>
    </row>
    <row r="48" spans="1:8" ht="17.100000000000001" customHeight="1" x14ac:dyDescent="0.3">
      <c r="A48" t="s">
        <v>184</v>
      </c>
      <c r="B48" s="1">
        <v>3</v>
      </c>
      <c r="D48"/>
      <c r="F48"/>
      <c r="G48"/>
      <c r="H48"/>
    </row>
    <row r="49" spans="1:8" ht="17.100000000000001" customHeight="1" x14ac:dyDescent="0.3">
      <c r="A49" t="s">
        <v>185</v>
      </c>
      <c r="B49" s="1">
        <v>4</v>
      </c>
      <c r="D49"/>
      <c r="F49"/>
      <c r="G49"/>
      <c r="H49"/>
    </row>
    <row r="50" spans="1:8" ht="17.100000000000001" customHeight="1" x14ac:dyDescent="0.3">
      <c r="A50" t="s">
        <v>186</v>
      </c>
      <c r="B50" s="1">
        <v>2</v>
      </c>
      <c r="D50"/>
      <c r="F50"/>
      <c r="G50"/>
      <c r="H50"/>
    </row>
    <row r="51" spans="1:8" ht="17.100000000000001" customHeight="1" x14ac:dyDescent="0.3">
      <c r="A51" t="s">
        <v>187</v>
      </c>
      <c r="B51" s="1">
        <v>4</v>
      </c>
      <c r="D51"/>
      <c r="F51"/>
      <c r="G51"/>
      <c r="H51"/>
    </row>
    <row r="52" spans="1:8" ht="17.100000000000001" customHeight="1" x14ac:dyDescent="0.3">
      <c r="A52" t="s">
        <v>188</v>
      </c>
      <c r="B52" s="1">
        <v>3</v>
      </c>
      <c r="D52"/>
      <c r="F52"/>
      <c r="G52"/>
      <c r="H52"/>
    </row>
    <row r="53" spans="1:8" ht="17.100000000000001" customHeight="1" x14ac:dyDescent="0.3">
      <c r="A53" t="s">
        <v>189</v>
      </c>
      <c r="B53" s="1">
        <v>3</v>
      </c>
      <c r="D53"/>
      <c r="F53"/>
      <c r="G53"/>
      <c r="H53"/>
    </row>
    <row r="54" spans="1:8" ht="17.100000000000001" customHeight="1" x14ac:dyDescent="0.3">
      <c r="D54"/>
      <c r="F54"/>
      <c r="G54"/>
      <c r="H54"/>
    </row>
    <row r="55" spans="1:8" ht="17.100000000000001" customHeight="1" x14ac:dyDescent="0.3">
      <c r="A55" s="12" t="s">
        <v>190</v>
      </c>
      <c r="D55"/>
      <c r="F55"/>
      <c r="G55"/>
      <c r="H55"/>
    </row>
    <row r="56" spans="1:8" ht="17.100000000000001" customHeight="1" x14ac:dyDescent="0.3">
      <c r="A56" s="12" t="s">
        <v>139</v>
      </c>
      <c r="D56"/>
      <c r="F56"/>
      <c r="G56"/>
      <c r="H56"/>
    </row>
    <row r="57" spans="1:8" ht="17.100000000000001" customHeight="1" x14ac:dyDescent="0.3">
      <c r="A57" t="s">
        <v>191</v>
      </c>
      <c r="B57" s="1">
        <v>2</v>
      </c>
      <c r="D57"/>
      <c r="F57"/>
      <c r="G57"/>
      <c r="H57"/>
    </row>
    <row r="58" spans="1:8" ht="17.100000000000001" customHeight="1" x14ac:dyDescent="0.3">
      <c r="A58" t="s">
        <v>192</v>
      </c>
      <c r="B58" s="1">
        <v>3</v>
      </c>
      <c r="D58"/>
      <c r="F58"/>
      <c r="G58"/>
      <c r="H58"/>
    </row>
    <row r="59" spans="1:8" ht="17.100000000000001" customHeight="1" x14ac:dyDescent="0.3">
      <c r="A59" t="s">
        <v>193</v>
      </c>
      <c r="B59" s="1">
        <v>2</v>
      </c>
      <c r="D59"/>
      <c r="F59"/>
      <c r="G59"/>
      <c r="H59"/>
    </row>
    <row r="60" spans="1:8" ht="17.100000000000001" customHeight="1" x14ac:dyDescent="0.3">
      <c r="A60" t="s">
        <v>194</v>
      </c>
      <c r="B60" s="1">
        <v>3</v>
      </c>
      <c r="D60"/>
      <c r="F60"/>
      <c r="G60"/>
      <c r="H60"/>
    </row>
    <row r="61" spans="1:8" ht="17.100000000000001" customHeight="1" x14ac:dyDescent="0.3">
      <c r="A61" t="s">
        <v>195</v>
      </c>
      <c r="B61" s="1">
        <v>4</v>
      </c>
      <c r="D61"/>
      <c r="F61"/>
      <c r="G61"/>
      <c r="H61"/>
    </row>
    <row r="62" spans="1:8" ht="17.100000000000001" customHeight="1" x14ac:dyDescent="0.3">
      <c r="A62" t="s">
        <v>196</v>
      </c>
      <c r="B62" s="1">
        <v>2</v>
      </c>
      <c r="D62"/>
      <c r="F62"/>
      <c r="G62"/>
      <c r="H62"/>
    </row>
    <row r="63" spans="1:8" ht="17.100000000000001" customHeight="1" x14ac:dyDescent="0.3">
      <c r="A63" t="s">
        <v>197</v>
      </c>
      <c r="B63" s="1">
        <v>3</v>
      </c>
      <c r="D63"/>
      <c r="F63"/>
      <c r="G63"/>
      <c r="H63"/>
    </row>
    <row r="64" spans="1:8" ht="17.100000000000001" customHeight="1" x14ac:dyDescent="0.3">
      <c r="A64" t="s">
        <v>198</v>
      </c>
      <c r="B64" s="1">
        <v>2</v>
      </c>
      <c r="D64"/>
      <c r="F64"/>
      <c r="G64"/>
      <c r="H64"/>
    </row>
    <row r="65" spans="1:8" ht="17.100000000000001" customHeight="1" x14ac:dyDescent="0.3">
      <c r="A65" t="s">
        <v>199</v>
      </c>
      <c r="B65" s="1">
        <v>2</v>
      </c>
      <c r="D65"/>
      <c r="F65"/>
      <c r="G65"/>
      <c r="H65"/>
    </row>
    <row r="67" spans="1:8" ht="17.100000000000001" customHeight="1" x14ac:dyDescent="0.3">
      <c r="A67" s="12" t="s">
        <v>6</v>
      </c>
    </row>
    <row r="68" spans="1:8" ht="17.100000000000001" customHeight="1" x14ac:dyDescent="0.3">
      <c r="A68" t="s">
        <v>200</v>
      </c>
      <c r="B68" s="1">
        <v>3</v>
      </c>
    </row>
    <row r="69" spans="1:8" ht="17.100000000000001" customHeight="1" x14ac:dyDescent="0.3">
      <c r="A69" t="s">
        <v>201</v>
      </c>
      <c r="B69" s="1">
        <v>2</v>
      </c>
    </row>
    <row r="70" spans="1:8" ht="17.100000000000001" customHeight="1" x14ac:dyDescent="0.3">
      <c r="A70" t="s">
        <v>202</v>
      </c>
      <c r="B70" s="1">
        <v>2</v>
      </c>
    </row>
    <row r="71" spans="1:8" ht="17.100000000000001" customHeight="1" x14ac:dyDescent="0.3">
      <c r="A71" t="s">
        <v>203</v>
      </c>
      <c r="B71" s="1">
        <v>3</v>
      </c>
    </row>
    <row r="72" spans="1:8" ht="17.100000000000001" customHeight="1" x14ac:dyDescent="0.3">
      <c r="A72" t="s">
        <v>204</v>
      </c>
      <c r="B72" s="1">
        <v>2</v>
      </c>
    </row>
    <row r="73" spans="1:8" ht="17.100000000000001" customHeight="1" x14ac:dyDescent="0.3">
      <c r="A73" t="s">
        <v>205</v>
      </c>
      <c r="B73" s="1">
        <v>2</v>
      </c>
    </row>
    <row r="74" spans="1:8" ht="17.100000000000001" customHeight="1" x14ac:dyDescent="0.3">
      <c r="A74" t="s">
        <v>206</v>
      </c>
      <c r="B74" s="1">
        <v>2</v>
      </c>
    </row>
    <row r="75" spans="1:8" ht="17.100000000000001" customHeight="1" x14ac:dyDescent="0.3">
      <c r="A75" t="s">
        <v>207</v>
      </c>
      <c r="B75" s="1">
        <v>3</v>
      </c>
    </row>
    <row r="76" spans="1:8" ht="17.100000000000001" customHeight="1" x14ac:dyDescent="0.3">
      <c r="A76" t="s">
        <v>208</v>
      </c>
      <c r="B76" s="1">
        <v>2</v>
      </c>
    </row>
    <row r="77" spans="1:8" ht="17.100000000000001" customHeight="1" x14ac:dyDescent="0.3">
      <c r="A77" t="s">
        <v>209</v>
      </c>
      <c r="B77" s="1">
        <v>4</v>
      </c>
    </row>
    <row r="78" spans="1:8" ht="17.100000000000001" customHeight="1" x14ac:dyDescent="0.3">
      <c r="A78" t="s">
        <v>210</v>
      </c>
      <c r="B78" s="1">
        <v>4</v>
      </c>
    </row>
    <row r="79" spans="1:8" ht="17.100000000000001" customHeight="1" x14ac:dyDescent="0.3">
      <c r="A79" t="s">
        <v>211</v>
      </c>
      <c r="B79" s="1">
        <v>4</v>
      </c>
    </row>
    <row r="80" spans="1:8" ht="17.100000000000001" customHeight="1" x14ac:dyDescent="0.3">
      <c r="A80" t="s">
        <v>212</v>
      </c>
      <c r="B80" s="1">
        <v>3</v>
      </c>
    </row>
    <row r="81" spans="1:2" ht="17.100000000000001" customHeight="1" x14ac:dyDescent="0.3">
      <c r="A81" t="s">
        <v>213</v>
      </c>
      <c r="B81" s="1">
        <v>2</v>
      </c>
    </row>
    <row r="82" spans="1:2" ht="17.100000000000001" customHeight="1" x14ac:dyDescent="0.3">
      <c r="A82" t="s">
        <v>214</v>
      </c>
      <c r="B82" s="1">
        <v>4</v>
      </c>
    </row>
    <row r="84" spans="1:2" ht="17.100000000000001" customHeight="1" x14ac:dyDescent="0.3">
      <c r="A84" s="12" t="s">
        <v>215</v>
      </c>
    </row>
    <row r="85" spans="1:2" ht="17.100000000000001" customHeight="1" x14ac:dyDescent="0.3">
      <c r="A85" s="2" t="s">
        <v>216</v>
      </c>
      <c r="B85" s="1">
        <v>4</v>
      </c>
    </row>
    <row r="86" spans="1:2" ht="17.100000000000001" customHeight="1" x14ac:dyDescent="0.3">
      <c r="A86" s="2" t="s">
        <v>217</v>
      </c>
      <c r="B86" s="1">
        <v>4</v>
      </c>
    </row>
    <row r="87" spans="1:2" ht="17.100000000000001" customHeight="1" x14ac:dyDescent="0.3">
      <c r="A87" t="s">
        <v>218</v>
      </c>
      <c r="B87" s="1">
        <v>2</v>
      </c>
    </row>
    <row r="88" spans="1:2" ht="17.100000000000001" customHeight="1" x14ac:dyDescent="0.3">
      <c r="A88" t="s">
        <v>219</v>
      </c>
      <c r="B88" s="1">
        <v>2</v>
      </c>
    </row>
    <row r="89" spans="1:2" ht="17.100000000000001" customHeight="1" x14ac:dyDescent="0.3">
      <c r="A89" t="s">
        <v>220</v>
      </c>
      <c r="B89" s="1">
        <v>3</v>
      </c>
    </row>
    <row r="90" spans="1:2" ht="17.100000000000001" customHeight="1" x14ac:dyDescent="0.3">
      <c r="A90" t="s">
        <v>221</v>
      </c>
      <c r="B90" s="1">
        <v>3</v>
      </c>
    </row>
    <row r="91" spans="1:2" ht="17.100000000000001" customHeight="1" x14ac:dyDescent="0.3">
      <c r="A91" t="s">
        <v>222</v>
      </c>
      <c r="B91" s="1">
        <v>3</v>
      </c>
    </row>
    <row r="92" spans="1:2" ht="17.100000000000001" customHeight="1" x14ac:dyDescent="0.3">
      <c r="A92" s="2" t="s">
        <v>223</v>
      </c>
      <c r="B92" s="1">
        <v>3</v>
      </c>
    </row>
    <row r="93" spans="1:2" ht="17.100000000000001" customHeight="1" x14ac:dyDescent="0.3">
      <c r="A93" s="2" t="s">
        <v>224</v>
      </c>
      <c r="B93" s="1">
        <v>3</v>
      </c>
    </row>
    <row r="94" spans="1:2" ht="17.100000000000001" customHeight="1" x14ac:dyDescent="0.3">
      <c r="A94" s="2" t="s">
        <v>225</v>
      </c>
      <c r="B94" s="1">
        <v>3</v>
      </c>
    </row>
    <row r="95" spans="1:2" ht="17.100000000000001" customHeight="1" x14ac:dyDescent="0.3">
      <c r="A95" s="2" t="s">
        <v>226</v>
      </c>
      <c r="B95" s="1">
        <v>3</v>
      </c>
    </row>
    <row r="96" spans="1:2" ht="17.100000000000001" customHeight="1" x14ac:dyDescent="0.3">
      <c r="A96" s="2" t="s">
        <v>227</v>
      </c>
      <c r="B96" s="1">
        <v>2</v>
      </c>
    </row>
    <row r="97" spans="1:8" ht="17.100000000000001" customHeight="1" x14ac:dyDescent="0.3">
      <c r="A97" s="2" t="s">
        <v>228</v>
      </c>
      <c r="B97" s="1">
        <v>2</v>
      </c>
    </row>
    <row r="98" spans="1:8" ht="17.100000000000001" customHeight="1" x14ac:dyDescent="0.3">
      <c r="A98" t="s">
        <v>229</v>
      </c>
      <c r="B98" s="1">
        <v>4</v>
      </c>
    </row>
    <row r="99" spans="1:8" ht="17.100000000000001" customHeight="1" x14ac:dyDescent="0.3">
      <c r="D99"/>
      <c r="F99"/>
      <c r="G99"/>
      <c r="H99"/>
    </row>
    <row r="100" spans="1:8" ht="17.100000000000001" customHeight="1" x14ac:dyDescent="0.3">
      <c r="A100" s="12" t="s">
        <v>230</v>
      </c>
    </row>
    <row r="101" spans="1:8" ht="17.100000000000001" customHeight="1" x14ac:dyDescent="0.3">
      <c r="A101" t="s">
        <v>231</v>
      </c>
      <c r="B101" s="1">
        <v>4</v>
      </c>
      <c r="D101"/>
      <c r="F101"/>
      <c r="G101"/>
      <c r="H101"/>
    </row>
    <row r="102" spans="1:8" ht="17.100000000000001" customHeight="1" x14ac:dyDescent="0.3">
      <c r="A102" t="s">
        <v>232</v>
      </c>
      <c r="B102" s="1">
        <v>4</v>
      </c>
      <c r="D102"/>
      <c r="F102"/>
      <c r="G102"/>
      <c r="H102"/>
    </row>
    <row r="103" spans="1:8" ht="17.100000000000001" customHeight="1" x14ac:dyDescent="0.3">
      <c r="A103" t="s">
        <v>233</v>
      </c>
      <c r="B103" s="1">
        <v>4</v>
      </c>
      <c r="D103"/>
      <c r="F103"/>
      <c r="G103"/>
      <c r="H103"/>
    </row>
    <row r="104" spans="1:8" ht="17.100000000000001" customHeight="1" x14ac:dyDescent="0.3">
      <c r="A104" t="s">
        <v>234</v>
      </c>
      <c r="B104" s="1">
        <v>4</v>
      </c>
      <c r="D104"/>
      <c r="F104"/>
      <c r="G104"/>
      <c r="H104"/>
    </row>
    <row r="105" spans="1:8" ht="17.100000000000001" customHeight="1" x14ac:dyDescent="0.3">
      <c r="A105" t="s">
        <v>235</v>
      </c>
      <c r="B105" s="1">
        <v>3</v>
      </c>
      <c r="D105"/>
      <c r="F105"/>
      <c r="G105"/>
      <c r="H105"/>
    </row>
    <row r="106" spans="1:8" ht="17.100000000000001" customHeight="1" x14ac:dyDescent="0.3">
      <c r="A106" t="s">
        <v>236</v>
      </c>
      <c r="B106" s="1">
        <v>2</v>
      </c>
      <c r="D106"/>
      <c r="F106"/>
      <c r="G106"/>
      <c r="H106"/>
    </row>
    <row r="107" spans="1:8" ht="17.100000000000001" customHeight="1" x14ac:dyDescent="0.3">
      <c r="A107" t="s">
        <v>237</v>
      </c>
      <c r="B107" s="1">
        <v>2</v>
      </c>
      <c r="D107"/>
      <c r="F107"/>
      <c r="G107"/>
      <c r="H107"/>
    </row>
    <row r="108" spans="1:8" ht="17.100000000000001" customHeight="1" x14ac:dyDescent="0.3">
      <c r="A108" t="s">
        <v>238</v>
      </c>
      <c r="B108" s="1">
        <v>3</v>
      </c>
      <c r="D108"/>
      <c r="F108"/>
      <c r="G108"/>
      <c r="H108"/>
    </row>
    <row r="109" spans="1:8" ht="17.100000000000001" customHeight="1" x14ac:dyDescent="0.3">
      <c r="A109" t="s">
        <v>239</v>
      </c>
      <c r="B109" s="1">
        <v>4</v>
      </c>
      <c r="D109"/>
      <c r="F109"/>
      <c r="G109"/>
      <c r="H109"/>
    </row>
    <row r="110" spans="1:8" ht="17.100000000000001" customHeight="1" x14ac:dyDescent="0.3">
      <c r="A110" t="s">
        <v>240</v>
      </c>
      <c r="B110" s="1">
        <v>4</v>
      </c>
      <c r="D110"/>
      <c r="F110"/>
      <c r="G110"/>
      <c r="H110"/>
    </row>
    <row r="111" spans="1:8" ht="17.100000000000001" customHeight="1" x14ac:dyDescent="0.3">
      <c r="A111" t="s">
        <v>241</v>
      </c>
      <c r="B111" s="1">
        <v>4</v>
      </c>
      <c r="D111"/>
      <c r="F111"/>
      <c r="G111"/>
      <c r="H111"/>
    </row>
    <row r="112" spans="1:8" ht="17.100000000000001" customHeight="1" x14ac:dyDescent="0.3">
      <c r="A112" t="s">
        <v>242</v>
      </c>
      <c r="B112" s="1">
        <v>4</v>
      </c>
      <c r="D112"/>
      <c r="F112"/>
      <c r="G112"/>
      <c r="H112"/>
    </row>
    <row r="114" spans="1:2" ht="17.100000000000001" customHeight="1" x14ac:dyDescent="0.3">
      <c r="A114" s="12" t="s">
        <v>142</v>
      </c>
    </row>
    <row r="115" spans="1:2" ht="17.100000000000001" customHeight="1" x14ac:dyDescent="0.3">
      <c r="A115" t="s">
        <v>243</v>
      </c>
      <c r="B115" s="1">
        <v>2</v>
      </c>
    </row>
    <row r="116" spans="1:2" ht="17.100000000000001" customHeight="1" x14ac:dyDescent="0.3">
      <c r="A116" t="s">
        <v>244</v>
      </c>
      <c r="B116" s="1">
        <v>2</v>
      </c>
    </row>
    <row r="117" spans="1:2" ht="17.100000000000001" customHeight="1" x14ac:dyDescent="0.3">
      <c r="A117" t="s">
        <v>245</v>
      </c>
      <c r="B117" s="1">
        <v>2</v>
      </c>
    </row>
    <row r="118" spans="1:2" ht="17.100000000000001" customHeight="1" x14ac:dyDescent="0.3">
      <c r="A118" t="s">
        <v>246</v>
      </c>
      <c r="B118" s="1">
        <v>3</v>
      </c>
    </row>
    <row r="119" spans="1:2" ht="17.100000000000001" customHeight="1" x14ac:dyDescent="0.3">
      <c r="A119" t="s">
        <v>247</v>
      </c>
      <c r="B119" s="1">
        <v>3</v>
      </c>
    </row>
    <row r="120" spans="1:2" ht="17.100000000000001" customHeight="1" x14ac:dyDescent="0.3">
      <c r="A120" t="s">
        <v>248</v>
      </c>
      <c r="B120" s="1">
        <v>2</v>
      </c>
    </row>
    <row r="121" spans="1:2" ht="17.100000000000001" customHeight="1" x14ac:dyDescent="0.3">
      <c r="A121" t="s">
        <v>249</v>
      </c>
      <c r="B121" s="1">
        <v>2</v>
      </c>
    </row>
    <row r="122" spans="1:2" ht="17.100000000000001" customHeight="1" x14ac:dyDescent="0.3">
      <c r="A122" t="s">
        <v>250</v>
      </c>
      <c r="B122" s="1">
        <v>3</v>
      </c>
    </row>
    <row r="123" spans="1:2" ht="17.100000000000001" customHeight="1" x14ac:dyDescent="0.3">
      <c r="A123" t="s">
        <v>251</v>
      </c>
      <c r="B123" s="1">
        <v>3</v>
      </c>
    </row>
    <row r="124" spans="1:2" ht="17.100000000000001" customHeight="1" x14ac:dyDescent="0.3">
      <c r="A124" t="s">
        <v>252</v>
      </c>
      <c r="B124" s="1">
        <v>2</v>
      </c>
    </row>
    <row r="125" spans="1:2" ht="17.100000000000001" customHeight="1" x14ac:dyDescent="0.3">
      <c r="A125" t="s">
        <v>253</v>
      </c>
      <c r="B125" s="1">
        <v>2</v>
      </c>
    </row>
    <row r="126" spans="1:2" ht="17.100000000000001" customHeight="1" x14ac:dyDescent="0.3">
      <c r="A126" t="s">
        <v>254</v>
      </c>
      <c r="B126" s="1">
        <v>3</v>
      </c>
    </row>
    <row r="127" spans="1:2" ht="17.100000000000001" customHeight="1" x14ac:dyDescent="0.3">
      <c r="A127" t="s">
        <v>255</v>
      </c>
      <c r="B127" s="1">
        <v>3</v>
      </c>
    </row>
    <row r="128" spans="1:2" ht="17.100000000000001" customHeight="1" x14ac:dyDescent="0.3">
      <c r="A128" t="s">
        <v>256</v>
      </c>
      <c r="B128" s="1">
        <v>2</v>
      </c>
    </row>
    <row r="129" spans="1:2" ht="17.100000000000001" customHeight="1" x14ac:dyDescent="0.3">
      <c r="A129" t="s">
        <v>257</v>
      </c>
      <c r="B129" s="1">
        <v>2</v>
      </c>
    </row>
    <row r="130" spans="1:2" ht="17.100000000000001" customHeight="1" x14ac:dyDescent="0.3">
      <c r="A130" t="s">
        <v>258</v>
      </c>
      <c r="B130" s="1">
        <v>3</v>
      </c>
    </row>
    <row r="131" spans="1:2" ht="17.100000000000001" customHeight="1" x14ac:dyDescent="0.3">
      <c r="A131" t="s">
        <v>259</v>
      </c>
      <c r="B131" s="1">
        <v>3</v>
      </c>
    </row>
    <row r="132" spans="1:2" ht="17.100000000000001" customHeight="1" x14ac:dyDescent="0.3">
      <c r="A132" t="s">
        <v>260</v>
      </c>
      <c r="B132" s="1">
        <v>4</v>
      </c>
    </row>
    <row r="133" spans="1:2" ht="17.100000000000001" customHeight="1" x14ac:dyDescent="0.3">
      <c r="A133" t="s">
        <v>261</v>
      </c>
      <c r="B133" s="1">
        <v>4</v>
      </c>
    </row>
    <row r="134" spans="1:2" ht="17.100000000000001" customHeight="1" x14ac:dyDescent="0.3">
      <c r="A134" t="s">
        <v>262</v>
      </c>
      <c r="B134" s="1">
        <v>4</v>
      </c>
    </row>
    <row r="135" spans="1:2" ht="17.100000000000001" customHeight="1" x14ac:dyDescent="0.3">
      <c r="A135" t="s">
        <v>263</v>
      </c>
      <c r="B135" s="1">
        <v>4</v>
      </c>
    </row>
    <row r="137" spans="1:2" ht="17.100000000000001" customHeight="1" x14ac:dyDescent="0.3">
      <c r="A137" s="27" t="s">
        <v>264</v>
      </c>
    </row>
    <row r="138" spans="1:2" ht="17.100000000000001" customHeight="1" x14ac:dyDescent="0.3">
      <c r="A138" s="2" t="s">
        <v>181</v>
      </c>
      <c r="B138" s="1">
        <v>3.4</v>
      </c>
    </row>
    <row r="139" spans="1:2" ht="17.100000000000001" customHeight="1" x14ac:dyDescent="0.3">
      <c r="A139" s="2" t="s">
        <v>265</v>
      </c>
      <c r="B139" s="1">
        <v>3.4</v>
      </c>
    </row>
    <row r="140" spans="1:2" ht="17.100000000000001" customHeight="1" x14ac:dyDescent="0.3">
      <c r="A140" s="2" t="s">
        <v>266</v>
      </c>
      <c r="B140" s="1">
        <v>4</v>
      </c>
    </row>
    <row r="141" spans="1:2" ht="17.100000000000001" customHeight="1" x14ac:dyDescent="0.3">
      <c r="A141" s="2" t="s">
        <v>267</v>
      </c>
      <c r="B141" s="1">
        <v>4</v>
      </c>
    </row>
    <row r="142" spans="1:2" ht="17.100000000000001" customHeight="1" x14ac:dyDescent="0.3">
      <c r="A142" s="2" t="s">
        <v>268</v>
      </c>
      <c r="B142" s="1">
        <v>4</v>
      </c>
    </row>
    <row r="143" spans="1:2" ht="17.100000000000001" customHeight="1" x14ac:dyDescent="0.3">
      <c r="A143" s="2" t="s">
        <v>269</v>
      </c>
      <c r="B143" s="1">
        <v>3</v>
      </c>
    </row>
    <row r="144" spans="1:2" ht="17.100000000000001" customHeight="1" x14ac:dyDescent="0.3">
      <c r="A144" s="2" t="s">
        <v>270</v>
      </c>
      <c r="B144" s="1">
        <v>3</v>
      </c>
    </row>
    <row r="145" spans="1:2" ht="17.100000000000001" customHeight="1" x14ac:dyDescent="0.3">
      <c r="A145" s="2" t="s">
        <v>271</v>
      </c>
      <c r="B145" s="1">
        <v>4</v>
      </c>
    </row>
    <row r="146" spans="1:2" ht="17.100000000000001" customHeight="1" x14ac:dyDescent="0.3">
      <c r="A146" s="2" t="s">
        <v>272</v>
      </c>
      <c r="B146" s="1">
        <v>4</v>
      </c>
    </row>
    <row r="147" spans="1:2" ht="17.100000000000001" customHeight="1" x14ac:dyDescent="0.3">
      <c r="A147" s="2" t="s">
        <v>273</v>
      </c>
      <c r="B147" s="1">
        <v>4</v>
      </c>
    </row>
    <row r="148" spans="1:2" ht="17.100000000000001" customHeight="1" x14ac:dyDescent="0.3">
      <c r="A148" s="2" t="s">
        <v>274</v>
      </c>
      <c r="B148" s="1">
        <v>4</v>
      </c>
    </row>
    <row r="149" spans="1:2" ht="17.100000000000001" customHeight="1" x14ac:dyDescent="0.3">
      <c r="A149" s="2" t="s">
        <v>275</v>
      </c>
      <c r="B149" s="1">
        <v>4</v>
      </c>
    </row>
    <row r="150" spans="1:2" ht="17.100000000000001" customHeight="1" x14ac:dyDescent="0.3">
      <c r="A150" s="2" t="s">
        <v>276</v>
      </c>
      <c r="B150" s="1">
        <v>4</v>
      </c>
    </row>
    <row r="151" spans="1:2" ht="17.100000000000001" customHeight="1" x14ac:dyDescent="0.3">
      <c r="A151" s="2" t="s">
        <v>277</v>
      </c>
      <c r="B151" s="1">
        <v>4</v>
      </c>
    </row>
    <row r="152" spans="1:2" ht="17.100000000000001" customHeight="1" x14ac:dyDescent="0.3">
      <c r="A152" s="2" t="s">
        <v>278</v>
      </c>
      <c r="B152" s="1">
        <v>4</v>
      </c>
    </row>
    <row r="153" spans="1:2" ht="17.100000000000001" customHeight="1" x14ac:dyDescent="0.3">
      <c r="A153" s="2" t="s">
        <v>279</v>
      </c>
      <c r="B153" s="1">
        <v>4</v>
      </c>
    </row>
    <row r="154" spans="1:2" ht="17.100000000000001" customHeight="1" x14ac:dyDescent="0.3">
      <c r="A154" s="2" t="s">
        <v>280</v>
      </c>
      <c r="B154" s="1">
        <v>4</v>
      </c>
    </row>
    <row r="155" spans="1:2" ht="17.100000000000001" customHeight="1" x14ac:dyDescent="0.3">
      <c r="A155" s="2" t="s">
        <v>281</v>
      </c>
      <c r="B155" s="1">
        <v>3</v>
      </c>
    </row>
    <row r="156" spans="1:2" ht="17.100000000000001" customHeight="1" x14ac:dyDescent="0.3">
      <c r="A156" s="2" t="s">
        <v>282</v>
      </c>
      <c r="B156" s="1">
        <v>4</v>
      </c>
    </row>
    <row r="157" spans="1:2" ht="17.100000000000001" customHeight="1" x14ac:dyDescent="0.3">
      <c r="A157" s="2" t="s">
        <v>283</v>
      </c>
      <c r="B157" s="1">
        <v>4</v>
      </c>
    </row>
    <row r="158" spans="1:2" ht="17.100000000000001" customHeight="1" x14ac:dyDescent="0.3">
      <c r="A158" s="2" t="s">
        <v>284</v>
      </c>
      <c r="B158" s="1">
        <v>4</v>
      </c>
    </row>
    <row r="159" spans="1:2" ht="17.100000000000001" customHeight="1" x14ac:dyDescent="0.3">
      <c r="A159" s="2" t="s">
        <v>285</v>
      </c>
      <c r="B159" s="1">
        <v>4</v>
      </c>
    </row>
    <row r="162" spans="1:1" ht="17.100000000000001" customHeight="1" x14ac:dyDescent="0.3">
      <c r="A162" s="2"/>
    </row>
    <row r="163" spans="1:1" ht="17.100000000000001" customHeight="1" x14ac:dyDescent="0.3">
      <c r="A163" s="2"/>
    </row>
    <row r="164" spans="1:1" ht="17.100000000000001" customHeight="1" x14ac:dyDescent="0.3">
      <c r="A164" s="2"/>
    </row>
    <row r="165" spans="1:1" ht="17.100000000000001" customHeight="1" x14ac:dyDescent="0.3">
      <c r="A165" s="2"/>
    </row>
    <row r="166" spans="1:1" ht="17.100000000000001" customHeight="1" x14ac:dyDescent="0.3">
      <c r="A166" s="2"/>
    </row>
    <row r="167" spans="1:1" ht="17.100000000000001" customHeight="1" x14ac:dyDescent="0.3">
      <c r="A167" s="2"/>
    </row>
    <row r="168" spans="1:1" ht="17.100000000000001" customHeight="1" x14ac:dyDescent="0.3">
      <c r="A168" s="2"/>
    </row>
  </sheetData>
  <sortState ref="A90:B110">
    <sortCondition ref="A90:A110"/>
  </sortState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topLeftCell="A10" workbookViewId="0">
      <selection activeCell="C26" sqref="C26"/>
    </sheetView>
  </sheetViews>
  <sheetFormatPr defaultRowHeight="14.4" x14ac:dyDescent="0.3"/>
  <sheetData>
    <row r="2" spans="2:10" x14ac:dyDescent="0.3">
      <c r="B2" s="23"/>
      <c r="C2" s="91" t="s">
        <v>43</v>
      </c>
      <c r="D2" s="91" t="s">
        <v>60</v>
      </c>
      <c r="E2" s="91" t="s">
        <v>42</v>
      </c>
      <c r="F2" s="91" t="s">
        <v>78</v>
      </c>
      <c r="G2" s="91" t="s">
        <v>79</v>
      </c>
      <c r="H2" s="171" t="s">
        <v>80</v>
      </c>
      <c r="I2" s="171"/>
      <c r="J2" s="92"/>
    </row>
    <row r="3" spans="2:10" ht="28.8" x14ac:dyDescent="0.3">
      <c r="B3" s="3" t="s">
        <v>27</v>
      </c>
      <c r="C3" s="4" t="s">
        <v>12</v>
      </c>
      <c r="D3" s="4" t="s">
        <v>12</v>
      </c>
      <c r="E3" s="4" t="s">
        <v>12</v>
      </c>
      <c r="F3" s="4" t="s">
        <v>12</v>
      </c>
      <c r="G3" s="4" t="s">
        <v>12</v>
      </c>
      <c r="H3" s="4" t="s">
        <v>85</v>
      </c>
      <c r="I3" s="4" t="s">
        <v>86</v>
      </c>
      <c r="J3" s="93" t="s">
        <v>286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23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25155</v>
      </c>
      <c r="C7" s="13">
        <v>2000</v>
      </c>
      <c r="D7" s="15">
        <v>1025</v>
      </c>
      <c r="E7" s="14">
        <v>450</v>
      </c>
      <c r="F7" s="15">
        <f t="shared" si="0"/>
        <v>525</v>
      </c>
      <c r="G7" s="19">
        <v>615</v>
      </c>
      <c r="H7" s="15">
        <v>20</v>
      </c>
      <c r="I7" s="19">
        <v>2</v>
      </c>
      <c r="J7" s="15">
        <v>20</v>
      </c>
    </row>
    <row r="8" spans="2:10" x14ac:dyDescent="0.3">
      <c r="B8" s="2">
        <v>23064</v>
      </c>
      <c r="C8" s="13">
        <v>3000</v>
      </c>
      <c r="D8" s="15">
        <v>1700</v>
      </c>
      <c r="E8" s="14">
        <v>900</v>
      </c>
      <c r="F8" s="15">
        <v>400</v>
      </c>
      <c r="G8" s="19">
        <v>650</v>
      </c>
      <c r="H8" s="15">
        <v>30</v>
      </c>
      <c r="I8" s="19">
        <v>3</v>
      </c>
      <c r="J8" s="15">
        <v>30</v>
      </c>
    </row>
    <row r="9" spans="2:10" x14ac:dyDescent="0.3">
      <c r="B9" s="2">
        <v>25132</v>
      </c>
      <c r="C9" s="13">
        <v>3000</v>
      </c>
      <c r="D9" s="15">
        <v>1700</v>
      </c>
      <c r="E9" s="14">
        <v>900</v>
      </c>
      <c r="F9" s="15">
        <f t="shared" si="0"/>
        <v>400</v>
      </c>
      <c r="G9" s="19">
        <v>650</v>
      </c>
      <c r="H9" s="15">
        <v>30</v>
      </c>
      <c r="I9" s="19">
        <v>3</v>
      </c>
      <c r="J9" s="15">
        <v>30</v>
      </c>
    </row>
    <row r="10" spans="2:10" x14ac:dyDescent="0.3">
      <c r="B10" s="2">
        <v>23069</v>
      </c>
      <c r="C10" s="13">
        <v>3000</v>
      </c>
      <c r="D10" s="15">
        <v>1700</v>
      </c>
      <c r="E10" s="14">
        <v>900</v>
      </c>
      <c r="F10" s="15">
        <v>400</v>
      </c>
      <c r="G10" s="19">
        <v>650</v>
      </c>
      <c r="H10" s="15">
        <v>30</v>
      </c>
      <c r="I10" s="19">
        <v>3</v>
      </c>
      <c r="J10" s="15">
        <v>30</v>
      </c>
    </row>
    <row r="11" spans="2:10" x14ac:dyDescent="0.3">
      <c r="B11" s="2">
        <v>25151</v>
      </c>
      <c r="C11" s="14">
        <v>3000</v>
      </c>
      <c r="D11" s="15">
        <v>1700</v>
      </c>
      <c r="E11" s="14">
        <v>900</v>
      </c>
      <c r="F11" s="15">
        <f t="shared" si="0"/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23065</v>
      </c>
      <c r="C12" s="14">
        <v>3000</v>
      </c>
      <c r="D12" s="15">
        <v>1700</v>
      </c>
      <c r="E12" s="14">
        <v>900</v>
      </c>
      <c r="F12" s="15"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25138</v>
      </c>
      <c r="C13" s="14">
        <v>3000</v>
      </c>
      <c r="D13" s="15">
        <v>1700</v>
      </c>
      <c r="E13" s="14">
        <v>900</v>
      </c>
      <c r="F13" s="15">
        <f t="shared" si="0"/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25140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25480</v>
      </c>
      <c r="C15" s="14">
        <v>4000</v>
      </c>
      <c r="D15" s="15">
        <v>0</v>
      </c>
      <c r="E15" s="14">
        <v>0</v>
      </c>
      <c r="F15" s="15">
        <f t="shared" si="0"/>
        <v>4000</v>
      </c>
      <c r="G15" s="19">
        <v>0</v>
      </c>
      <c r="H15" s="15">
        <v>40</v>
      </c>
      <c r="I15" s="19">
        <v>4</v>
      </c>
      <c r="J15" s="15">
        <v>40</v>
      </c>
    </row>
    <row r="16" spans="2:10" x14ac:dyDescent="0.3">
      <c r="B16" s="2">
        <v>25191</v>
      </c>
      <c r="C16" s="14">
        <v>3000</v>
      </c>
      <c r="D16" s="15">
        <v>1675</v>
      </c>
      <c r="E16" s="14">
        <v>900</v>
      </c>
      <c r="F16" s="15">
        <f t="shared" si="0"/>
        <v>425</v>
      </c>
      <c r="G16" s="19">
        <v>700</v>
      </c>
      <c r="H16" s="15">
        <v>30</v>
      </c>
      <c r="I16" s="19">
        <v>3</v>
      </c>
      <c r="J16" s="15">
        <v>30</v>
      </c>
    </row>
    <row r="17" spans="2:10" x14ac:dyDescent="0.3">
      <c r="B17" s="2">
        <v>25187</v>
      </c>
      <c r="C17" s="14">
        <v>3000</v>
      </c>
      <c r="D17" s="15">
        <v>1675</v>
      </c>
      <c r="E17" s="14">
        <v>900</v>
      </c>
      <c r="F17" s="15">
        <f t="shared" si="0"/>
        <v>425</v>
      </c>
      <c r="G17" s="19">
        <v>700</v>
      </c>
      <c r="H17" s="15">
        <v>30</v>
      </c>
      <c r="I17" s="19">
        <v>3</v>
      </c>
      <c r="J17" s="15">
        <v>30</v>
      </c>
    </row>
    <row r="18" spans="2:10" x14ac:dyDescent="0.3">
      <c r="B18" s="2">
        <v>25189</v>
      </c>
      <c r="C18" s="14">
        <v>3000</v>
      </c>
      <c r="D18" s="15">
        <v>1675</v>
      </c>
      <c r="E18" s="14">
        <v>900</v>
      </c>
      <c r="F18" s="15">
        <f t="shared" si="0"/>
        <v>425</v>
      </c>
      <c r="G18" s="19">
        <v>700</v>
      </c>
      <c r="H18" s="15">
        <v>30</v>
      </c>
      <c r="I18" s="19">
        <v>3</v>
      </c>
      <c r="J18" s="15">
        <v>30</v>
      </c>
    </row>
    <row r="19" spans="2:10" x14ac:dyDescent="0.3">
      <c r="B19" s="2">
        <v>25190</v>
      </c>
      <c r="C19" s="14">
        <v>3000</v>
      </c>
      <c r="D19" s="15">
        <v>1675</v>
      </c>
      <c r="E19" s="14">
        <v>900</v>
      </c>
      <c r="F19" s="15">
        <f t="shared" ref="F19" si="1">C19-D19-E19</f>
        <v>425</v>
      </c>
      <c r="G19" s="19">
        <v>700</v>
      </c>
      <c r="H19" s="15">
        <v>30</v>
      </c>
      <c r="I19" s="19">
        <v>3</v>
      </c>
      <c r="J19" s="15">
        <v>30</v>
      </c>
    </row>
    <row r="20" spans="2:10" x14ac:dyDescent="0.3">
      <c r="B20" s="2">
        <v>25104</v>
      </c>
      <c r="C20" s="14">
        <v>4000</v>
      </c>
      <c r="D20" s="15">
        <v>2200</v>
      </c>
      <c r="E20" s="14">
        <v>1350</v>
      </c>
      <c r="F20" s="15">
        <f t="shared" si="0"/>
        <v>450</v>
      </c>
      <c r="G20" s="19">
        <v>650</v>
      </c>
      <c r="H20" s="15">
        <v>40</v>
      </c>
      <c r="I20" s="19">
        <v>4</v>
      </c>
      <c r="J20" s="15">
        <v>40</v>
      </c>
    </row>
    <row r="21" spans="2:10" x14ac:dyDescent="0.3">
      <c r="B21" s="2">
        <v>25105</v>
      </c>
      <c r="C21" s="14">
        <v>4000</v>
      </c>
      <c r="D21" s="15">
        <v>2200</v>
      </c>
      <c r="E21" s="14">
        <v>1350</v>
      </c>
      <c r="F21" s="15">
        <f t="shared" si="0"/>
        <v>450</v>
      </c>
      <c r="G21" s="19">
        <v>650</v>
      </c>
      <c r="H21" s="15">
        <v>40</v>
      </c>
      <c r="I21" s="19">
        <v>4</v>
      </c>
      <c r="J21" s="15">
        <v>40</v>
      </c>
    </row>
    <row r="22" spans="2:10" x14ac:dyDescent="0.3">
      <c r="B22" s="2">
        <v>25297</v>
      </c>
      <c r="C22" s="14">
        <v>4000</v>
      </c>
      <c r="D22" s="15">
        <v>2200</v>
      </c>
      <c r="E22" s="14">
        <v>1350</v>
      </c>
      <c r="F22" s="15">
        <f t="shared" si="0"/>
        <v>450</v>
      </c>
      <c r="G22" s="19">
        <v>650</v>
      </c>
      <c r="H22" s="15">
        <v>40</v>
      </c>
      <c r="I22" s="19">
        <v>4</v>
      </c>
      <c r="J22" s="15">
        <v>40</v>
      </c>
    </row>
    <row r="23" spans="2:10" x14ac:dyDescent="0.3">
      <c r="B23" s="2">
        <v>25171</v>
      </c>
      <c r="C23" s="14">
        <v>2000</v>
      </c>
      <c r="D23" s="15">
        <v>1050</v>
      </c>
      <c r="E23" s="14">
        <v>650</v>
      </c>
      <c r="F23" s="15">
        <f t="shared" si="0"/>
        <v>300</v>
      </c>
      <c r="G23" s="19">
        <v>600</v>
      </c>
      <c r="H23" s="15">
        <v>20</v>
      </c>
      <c r="I23" s="19">
        <v>2</v>
      </c>
      <c r="J23" s="15">
        <v>40</v>
      </c>
    </row>
    <row r="24" spans="2:10" x14ac:dyDescent="0.3">
      <c r="B24" s="2" t="s">
        <v>110</v>
      </c>
      <c r="C24" s="14">
        <v>3000</v>
      </c>
      <c r="D24" s="15">
        <v>1700</v>
      </c>
      <c r="E24" s="14">
        <v>1000</v>
      </c>
      <c r="F24" s="15">
        <f>C24-D24-E24</f>
        <v>300</v>
      </c>
      <c r="G24" s="19">
        <v>700</v>
      </c>
      <c r="H24" s="15">
        <v>30</v>
      </c>
      <c r="I24" s="19">
        <v>3</v>
      </c>
      <c r="J24" s="15">
        <v>30</v>
      </c>
    </row>
    <row r="27" spans="2:10" x14ac:dyDescent="0.3">
      <c r="B27" s="23"/>
      <c r="C27" s="91" t="s">
        <v>43</v>
      </c>
      <c r="D27" s="91" t="s">
        <v>60</v>
      </c>
      <c r="E27" s="91" t="s">
        <v>42</v>
      </c>
      <c r="F27" s="91" t="s">
        <v>78</v>
      </c>
      <c r="G27" s="91" t="s">
        <v>79</v>
      </c>
      <c r="H27" s="171" t="s">
        <v>80</v>
      </c>
      <c r="I27" s="171"/>
      <c r="J27" s="92"/>
    </row>
    <row r="28" spans="2:10" ht="28.8" x14ac:dyDescent="0.3">
      <c r="B28" s="3" t="s">
        <v>27</v>
      </c>
      <c r="C28" s="4" t="s">
        <v>84</v>
      </c>
      <c r="D28" s="4" t="s">
        <v>84</v>
      </c>
      <c r="E28" s="4" t="s">
        <v>84</v>
      </c>
      <c r="F28" s="4" t="s">
        <v>84</v>
      </c>
      <c r="G28" s="4" t="s">
        <v>84</v>
      </c>
      <c r="H28" s="4" t="s">
        <v>85</v>
      </c>
      <c r="I28" s="4" t="s">
        <v>86</v>
      </c>
      <c r="J28" s="93" t="s">
        <v>286</v>
      </c>
    </row>
    <row r="29" spans="2:10" x14ac:dyDescent="0.3">
      <c r="B29" s="2">
        <v>25491</v>
      </c>
      <c r="C29" s="13">
        <v>2360</v>
      </c>
      <c r="D29" s="15">
        <v>410</v>
      </c>
      <c r="E29" s="14">
        <v>1760</v>
      </c>
      <c r="F29" s="15">
        <f>C29-D29-E29</f>
        <v>190</v>
      </c>
      <c r="G29" s="19" t="s">
        <v>287</v>
      </c>
      <c r="H29" s="15">
        <v>30</v>
      </c>
      <c r="I29" s="19">
        <v>3</v>
      </c>
      <c r="J29" s="15">
        <v>30</v>
      </c>
    </row>
  </sheetData>
  <mergeCells count="2">
    <mergeCell ref="H2:I2"/>
    <mergeCell ref="H27:I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B17"/>
  <sheetViews>
    <sheetView workbookViewId="0">
      <selection activeCell="B17" sqref="B17"/>
    </sheetView>
  </sheetViews>
  <sheetFormatPr defaultRowHeight="17.100000000000001" customHeight="1" x14ac:dyDescent="0.3"/>
  <cols>
    <col min="1" max="1" width="3.88671875" customWidth="1"/>
    <col min="2" max="2" width="104.33203125" bestFit="1" customWidth="1"/>
  </cols>
  <sheetData>
    <row r="1" spans="1:2" s="65" customFormat="1" ht="18" customHeight="1" x14ac:dyDescent="0.35">
      <c r="A1" s="172" t="s">
        <v>288</v>
      </c>
      <c r="B1" s="172"/>
    </row>
    <row r="2" spans="1:2" ht="17.100000000000001" customHeight="1" x14ac:dyDescent="0.35">
      <c r="A2" s="64"/>
      <c r="B2" s="66"/>
    </row>
    <row r="3" spans="1:2" ht="17.100000000000001" customHeight="1" x14ac:dyDescent="0.3">
      <c r="A3" t="s">
        <v>289</v>
      </c>
      <c r="B3" t="s">
        <v>290</v>
      </c>
    </row>
    <row r="4" spans="1:2" ht="14.4" x14ac:dyDescent="0.3">
      <c r="A4" t="s">
        <v>291</v>
      </c>
      <c r="B4" t="s">
        <v>292</v>
      </c>
    </row>
    <row r="5" spans="1:2" ht="17.100000000000001" customHeight="1" x14ac:dyDescent="0.3">
      <c r="B5" t="s">
        <v>293</v>
      </c>
    </row>
    <row r="6" spans="1:2" ht="17.100000000000001" customHeight="1" x14ac:dyDescent="0.3">
      <c r="B6" t="s">
        <v>294</v>
      </c>
    </row>
    <row r="7" spans="1:2" ht="14.4" x14ac:dyDescent="0.3">
      <c r="A7" t="s">
        <v>295</v>
      </c>
      <c r="B7" t="s">
        <v>296</v>
      </c>
    </row>
    <row r="8" spans="1:2" ht="14.4" x14ac:dyDescent="0.3">
      <c r="B8" t="s">
        <v>297</v>
      </c>
    </row>
    <row r="9" spans="1:2" ht="14.4" x14ac:dyDescent="0.3">
      <c r="B9" t="s">
        <v>298</v>
      </c>
    </row>
    <row r="10" spans="1:2" ht="14.4" x14ac:dyDescent="0.3">
      <c r="B10" t="s">
        <v>299</v>
      </c>
    </row>
    <row r="11" spans="1:2" ht="14.4" x14ac:dyDescent="0.3">
      <c r="A11" t="s">
        <v>300</v>
      </c>
      <c r="B11" t="s">
        <v>301</v>
      </c>
    </row>
    <row r="12" spans="1:2" ht="17.100000000000001" customHeight="1" x14ac:dyDescent="0.3">
      <c r="A12" t="s">
        <v>302</v>
      </c>
      <c r="B12" t="s">
        <v>303</v>
      </c>
    </row>
    <row r="13" spans="1:2" s="67" customFormat="1" ht="17.100000000000001" customHeight="1" x14ac:dyDescent="0.35">
      <c r="A13"/>
      <c r="B13" t="s">
        <v>304</v>
      </c>
    </row>
    <row r="14" spans="1:2" s="67" customFormat="1" ht="17.100000000000001" customHeight="1" x14ac:dyDescent="0.35">
      <c r="A14"/>
      <c r="B14" t="s">
        <v>305</v>
      </c>
    </row>
    <row r="15" spans="1:2" ht="17.100000000000001" customHeight="1" x14ac:dyDescent="0.3">
      <c r="B15" t="s">
        <v>306</v>
      </c>
    </row>
    <row r="16" spans="1:2" ht="17.100000000000001" customHeight="1" x14ac:dyDescent="0.3">
      <c r="B16" t="s">
        <v>307</v>
      </c>
    </row>
    <row r="17" spans="1:2" ht="17.100000000000001" customHeight="1" x14ac:dyDescent="0.3">
      <c r="A17" t="s">
        <v>308</v>
      </c>
      <c r="B17" t="s">
        <v>309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BE3"/>
  <sheetViews>
    <sheetView workbookViewId="0">
      <selection activeCell="E17" sqref="E17"/>
    </sheetView>
  </sheetViews>
  <sheetFormatPr defaultRowHeight="14.4" x14ac:dyDescent="0.3"/>
  <cols>
    <col min="1" max="1" width="20.33203125" customWidth="1"/>
    <col min="2" max="2" width="9" customWidth="1"/>
    <col min="3" max="3" width="49.88671875" customWidth="1"/>
    <col min="4" max="4" width="7.33203125" bestFit="1" customWidth="1"/>
    <col min="5" max="5" width="10.88671875" bestFit="1" customWidth="1"/>
    <col min="6" max="6" width="8.109375" bestFit="1" customWidth="1"/>
    <col min="7" max="7" width="9.88671875" bestFit="1" customWidth="1"/>
    <col min="8" max="8" width="11.6640625" bestFit="1" customWidth="1"/>
    <col min="9" max="9" width="10.5546875" bestFit="1" customWidth="1"/>
    <col min="10" max="10" width="10" bestFit="1" customWidth="1"/>
    <col min="11" max="12" width="10.1093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3" t="s">
        <v>310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4" t="s">
        <v>311</v>
      </c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3" t="s">
        <v>312</v>
      </c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4" t="s">
        <v>313</v>
      </c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3" t="s">
        <v>314</v>
      </c>
      <c r="AV1" s="173"/>
      <c r="AW1" s="173"/>
      <c r="AX1" s="173"/>
      <c r="AY1" s="173"/>
      <c r="AZ1" s="173"/>
      <c r="BA1" s="173"/>
      <c r="BB1" s="173"/>
      <c r="BC1" s="173"/>
      <c r="BD1" s="173"/>
      <c r="BE1" s="173"/>
    </row>
    <row r="2" spans="1:57" x14ac:dyDescent="0.3">
      <c r="A2" s="21" t="s">
        <v>3</v>
      </c>
      <c r="B2" s="21" t="s">
        <v>27</v>
      </c>
      <c r="C2" s="21" t="s">
        <v>315</v>
      </c>
      <c r="D2" s="21" t="s">
        <v>316</v>
      </c>
      <c r="E2" s="21" t="s">
        <v>11</v>
      </c>
      <c r="F2" s="21" t="s">
        <v>134</v>
      </c>
      <c r="G2" s="21" t="s">
        <v>14</v>
      </c>
      <c r="H2" s="21" t="s">
        <v>317</v>
      </c>
      <c r="I2" s="21" t="s">
        <v>318</v>
      </c>
      <c r="J2" s="21" t="s">
        <v>319</v>
      </c>
      <c r="K2" s="21" t="s">
        <v>320</v>
      </c>
      <c r="L2" s="21" t="s">
        <v>321</v>
      </c>
      <c r="M2" s="21" t="s">
        <v>85</v>
      </c>
      <c r="N2" s="20" t="s">
        <v>322</v>
      </c>
      <c r="O2" s="20" t="s">
        <v>323</v>
      </c>
      <c r="P2" s="20" t="s">
        <v>324</v>
      </c>
      <c r="Q2" s="20" t="s">
        <v>325</v>
      </c>
      <c r="R2" s="20" t="s">
        <v>326</v>
      </c>
      <c r="S2" s="20" t="s">
        <v>327</v>
      </c>
      <c r="T2" s="20" t="s">
        <v>328</v>
      </c>
      <c r="U2" s="20" t="s">
        <v>329</v>
      </c>
      <c r="V2" s="20" t="s">
        <v>60</v>
      </c>
      <c r="W2" s="20" t="s">
        <v>42</v>
      </c>
      <c r="X2" s="20" t="s">
        <v>43</v>
      </c>
      <c r="Y2" s="21" t="s">
        <v>322</v>
      </c>
      <c r="Z2" s="21" t="s">
        <v>323</v>
      </c>
      <c r="AA2" s="21" t="s">
        <v>324</v>
      </c>
      <c r="AB2" s="21" t="s">
        <v>325</v>
      </c>
      <c r="AC2" s="21" t="s">
        <v>326</v>
      </c>
      <c r="AD2" s="21" t="s">
        <v>327</v>
      </c>
      <c r="AE2" s="21" t="s">
        <v>328</v>
      </c>
      <c r="AF2" s="21" t="s">
        <v>329</v>
      </c>
      <c r="AG2" s="21" t="s">
        <v>60</v>
      </c>
      <c r="AH2" s="21" t="s">
        <v>42</v>
      </c>
      <c r="AI2" s="21" t="s">
        <v>43</v>
      </c>
      <c r="AJ2" s="20" t="s">
        <v>322</v>
      </c>
      <c r="AK2" s="20" t="s">
        <v>323</v>
      </c>
      <c r="AL2" s="20" t="s">
        <v>324</v>
      </c>
      <c r="AM2" s="20" t="s">
        <v>325</v>
      </c>
      <c r="AN2" s="20" t="s">
        <v>326</v>
      </c>
      <c r="AO2" s="20" t="s">
        <v>327</v>
      </c>
      <c r="AP2" s="20" t="s">
        <v>328</v>
      </c>
      <c r="AQ2" s="20" t="s">
        <v>329</v>
      </c>
      <c r="AR2" s="20" t="s">
        <v>60</v>
      </c>
      <c r="AS2" s="20" t="s">
        <v>42</v>
      </c>
      <c r="AT2" s="20" t="s">
        <v>43</v>
      </c>
      <c r="AU2" s="21" t="s">
        <v>322</v>
      </c>
      <c r="AV2" s="21" t="s">
        <v>323</v>
      </c>
      <c r="AW2" s="21" t="s">
        <v>324</v>
      </c>
      <c r="AX2" s="21" t="s">
        <v>325</v>
      </c>
      <c r="AY2" s="21" t="s">
        <v>326</v>
      </c>
      <c r="AZ2" s="21" t="s">
        <v>327</v>
      </c>
      <c r="BA2" s="21" t="s">
        <v>328</v>
      </c>
      <c r="BB2" s="21" t="s">
        <v>329</v>
      </c>
      <c r="BC2" s="21" t="s">
        <v>60</v>
      </c>
      <c r="BD2" s="21" t="s">
        <v>42</v>
      </c>
      <c r="BE2" s="21" t="s">
        <v>43</v>
      </c>
    </row>
    <row r="3" spans="1:57" x14ac:dyDescent="0.3">
      <c r="A3" t="str">
        <f>Programmering!D4</f>
        <v>Dienstverlening</v>
      </c>
      <c r="B3" t="str">
        <f>IF(Programmering!N11="sprint",LEFT(Programmering!D5,5)&amp;"s",IF(AND(Programmering!N4="Werktuigbouwkunde",D3=4,E3="BOL"),LEFT(Programmering!D5,5)&amp;"w",LEFT(Programmering!D5,5)))</f>
        <v>25171</v>
      </c>
      <c r="C3" t="str">
        <f>RIGHT(Programmering!D5,LEN(Programmering!D5)-8)</f>
        <v>Zelfstandig werkend gastheer/-vrouw</v>
      </c>
      <c r="D3">
        <f>Programmering!N8</f>
        <v>3</v>
      </c>
      <c r="E3" t="str">
        <f>Programmering!$D$6</f>
        <v>BOL</v>
      </c>
      <c r="F3">
        <f>Programmering!N7</f>
        <v>1</v>
      </c>
      <c r="G3" t="str">
        <f>Programmering!D7</f>
        <v>2019/2020</v>
      </c>
      <c r="H3" s="18">
        <f>Programmering!D9</f>
        <v>43709</v>
      </c>
      <c r="I3" s="18">
        <f>Programmering!D10</f>
        <v>44773</v>
      </c>
      <c r="J3" s="22">
        <f>Programmering!G17</f>
        <v>2000</v>
      </c>
      <c r="K3" s="22">
        <f>Programmering!G18</f>
        <v>1050</v>
      </c>
      <c r="L3" s="22">
        <f>Programmering!G19</f>
        <v>650</v>
      </c>
      <c r="M3">
        <f>Programmering!N9</f>
        <v>20</v>
      </c>
      <c r="N3" s="22">
        <f>Programmering!H25+Programmering!I25</f>
        <v>237.5</v>
      </c>
      <c r="O3" s="22">
        <f>Programmering!J25</f>
        <v>0</v>
      </c>
      <c r="P3" s="22">
        <f>Programmering!H26+Programmering!I26</f>
        <v>150.41666666666669</v>
      </c>
      <c r="Q3" s="22">
        <f>Programmering!J26</f>
        <v>140</v>
      </c>
      <c r="R3" s="22">
        <f>Programmering!H27+Programmering!I27</f>
        <v>150.41666666666669</v>
      </c>
      <c r="S3" s="22">
        <f>Programmering!J27</f>
        <v>140</v>
      </c>
      <c r="T3" s="22">
        <f>Programmering!H28+Programmering!I28</f>
        <v>141.66666666666669</v>
      </c>
      <c r="U3" s="22">
        <f>Programmering!J28</f>
        <v>140</v>
      </c>
      <c r="V3" s="22">
        <f>Programmering!H29+Programmering!I29</f>
        <v>680</v>
      </c>
      <c r="W3" s="22">
        <f>Programmering!J29</f>
        <v>420</v>
      </c>
      <c r="X3" s="22">
        <f>Programmering!K29</f>
        <v>1100.0000000000002</v>
      </c>
      <c r="Y3" s="22">
        <f>Programmering!H31+Programmering!I31</f>
        <v>158.33333333333334</v>
      </c>
      <c r="Z3" s="22">
        <f>Programmering!J31</f>
        <v>140</v>
      </c>
      <c r="AA3" s="22">
        <f>Programmering!H32+Programmering!I32</f>
        <v>158.33333333333334</v>
      </c>
      <c r="AB3" s="22">
        <f>Programmering!J32</f>
        <v>140</v>
      </c>
      <c r="AC3" s="22">
        <f>Programmering!H33+Programmering!I33</f>
        <v>158.33333333333334</v>
      </c>
      <c r="AD3" s="22">
        <f>Programmering!J33</f>
        <v>140</v>
      </c>
      <c r="AE3" s="22">
        <f>Programmering!H34+Programmering!I34</f>
        <v>14.166666666666668</v>
      </c>
      <c r="AF3" s="22">
        <f>Programmering!J34</f>
        <v>220</v>
      </c>
      <c r="AG3" s="22">
        <f>Programmering!H35+Programmering!I35</f>
        <v>489.16666666666669</v>
      </c>
      <c r="AH3" s="22">
        <f>Programmering!J35</f>
        <v>640</v>
      </c>
      <c r="AI3" s="22">
        <f>Programmering!K35</f>
        <v>1129.1666666666667</v>
      </c>
      <c r="AJ3" s="22">
        <f>Programmering!H37+Programmering!I37</f>
        <v>0</v>
      </c>
      <c r="AK3" s="22">
        <f>Programmering!J37</f>
        <v>0</v>
      </c>
      <c r="AL3" s="22">
        <f>Programmering!H38+Programmering!I38</f>
        <v>0</v>
      </c>
      <c r="AM3" s="22">
        <f>Programmering!J38</f>
        <v>0</v>
      </c>
      <c r="AN3" s="22">
        <f>Programmering!H39+Programmering!I39</f>
        <v>0</v>
      </c>
      <c r="AO3" s="22">
        <f>Programmering!J39</f>
        <v>0</v>
      </c>
      <c r="AP3" s="22">
        <f>Programmering!H40+Programmering!I40</f>
        <v>0</v>
      </c>
      <c r="AQ3" s="22">
        <f>Programmering!J40</f>
        <v>0</v>
      </c>
      <c r="AR3" s="22">
        <f>Programmering!H41+Programmering!I41</f>
        <v>0</v>
      </c>
      <c r="AS3" s="22">
        <f>Programmering!J41</f>
        <v>0</v>
      </c>
      <c r="AT3" s="22">
        <f>Programmering!K41</f>
        <v>0</v>
      </c>
      <c r="AU3" s="22">
        <f>Programmering!H43+Programmering!I43</f>
        <v>0</v>
      </c>
      <c r="AV3" s="22">
        <f>Programmering!J43</f>
        <v>0</v>
      </c>
      <c r="AW3" s="22">
        <f>Programmering!H44+Programmering!I44</f>
        <v>0</v>
      </c>
      <c r="AX3" s="22">
        <f>Programmering!J44</f>
        <v>0</v>
      </c>
      <c r="AY3" s="22">
        <f>Programmering!H45+Programmering!I45</f>
        <v>0</v>
      </c>
      <c r="AZ3" s="22">
        <f>Programmering!J45</f>
        <v>0</v>
      </c>
      <c r="BA3" s="22">
        <f>Programmering!H46+Programmering!I46</f>
        <v>0</v>
      </c>
      <c r="BB3" s="22">
        <f>Programmering!J46</f>
        <v>0</v>
      </c>
      <c r="BC3" s="22">
        <f>Programmering!H47+Programmering!I47</f>
        <v>0</v>
      </c>
      <c r="BD3" s="22">
        <f>Programmering!J47</f>
        <v>0</v>
      </c>
      <c r="BE3" s="22">
        <f>Programmering!K47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7D6C20600D44AA77FEF46EB091E81" ma:contentTypeVersion="4" ma:contentTypeDescription="Een nieuw document maken." ma:contentTypeScope="" ma:versionID="75fb0ccfc0979315f14bf7c4cfb4103d">
  <xsd:schema xmlns:xsd="http://www.w3.org/2001/XMLSchema" xmlns:xs="http://www.w3.org/2001/XMLSchema" xmlns:p="http://schemas.microsoft.com/office/2006/metadata/properties" xmlns:ns2="bad3f8e0-ebee-4fe4-8957-6c751db120c9" xmlns:ns3="be49209e-591d-42eb-870f-7550efdc6272" targetNamespace="http://schemas.microsoft.com/office/2006/metadata/properties" ma:root="true" ma:fieldsID="1c14a2d606e6932912d4504e895fc226" ns2:_="" ns3:_="">
    <xsd:import namespace="bad3f8e0-ebee-4fe4-8957-6c751db120c9"/>
    <xsd:import namespace="be49209e-591d-42eb-870f-7550efdc627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3f8e0-ebee-4fe4-8957-6c751db12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49209e-591d-42eb-870f-7550efdc62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8B6C29-1CD6-45D8-9BA3-716221A5C90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e49209e-591d-42eb-870f-7550efdc6272"/>
    <ds:schemaRef ds:uri="bad3f8e0-ebee-4fe4-8957-6c751db120c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771915-A615-4A43-8F9F-CCD1AF6B3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d3f8e0-ebee-4fe4-8957-6c751db120c9"/>
    <ds:schemaRef ds:uri="be49209e-591d-42eb-870f-7550efdc62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Parameters</vt:lpstr>
      <vt:lpstr>Opleidingen</vt:lpstr>
      <vt:lpstr>Afwijkende normen</vt:lpstr>
      <vt:lpstr>Toelichting</vt:lpstr>
      <vt:lpstr>Administratie</vt:lpstr>
      <vt:lpstr>BBL</vt:lpstr>
      <vt:lpstr>BOL</vt:lpstr>
      <vt:lpstr>Bouwkunde</vt:lpstr>
      <vt:lpstr>cohorten</vt:lpstr>
      <vt:lpstr>Dienstverlening</vt:lpstr>
      <vt:lpstr>Economie</vt:lpstr>
      <vt:lpstr>Electrotechniek</vt:lpstr>
      <vt:lpstr>Gezondheidszorg</vt:lpstr>
      <vt:lpstr>ICT</vt:lpstr>
      <vt:lpstr>Mobiliteit</vt:lpstr>
      <vt:lpstr>Techniek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Top-van Nifterik, A.H. (NkA)</cp:lastModifiedBy>
  <cp:revision/>
  <dcterms:created xsi:type="dcterms:W3CDTF">2014-05-19T17:20:27Z</dcterms:created>
  <dcterms:modified xsi:type="dcterms:W3CDTF">2019-05-15T09:03:56Z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0x010100CA17D6C20600D44AA77FEF46EB091E81</vt:lpwstr>
  </property>
</Properties>
</file>